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ool\RESOURCE MANAGEMENT\FY 2026 HEADCOUNT\TERMS AND CONDITIONS\FINAL\"/>
    </mc:Choice>
  </mc:AlternateContent>
  <xr:revisionPtr revIDLastSave="0" documentId="13_ncr:1_{4080EB08-19D6-42FF-B45F-AC38E7CC7E0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ummary" sheetId="2" r:id="rId1"/>
    <sheet name="Details-Oct. Filled Positions" sheetId="10" r:id="rId2"/>
  </sheets>
  <definedNames>
    <definedName name="_xlnm._FilterDatabase" localSheetId="1" hidden="1">'Details-Oct. Filled Positions'!#REF!</definedName>
    <definedName name="_xlnm.Print_Area" localSheetId="1">'Details-Oct. Filled Positions'!$B$1:$J$91</definedName>
    <definedName name="_xlnm.Print_Area" localSheetId="0">Summary!$B$2:$K$20</definedName>
    <definedName name="_xlnm.Print_Titles" localSheetId="1">'Details-Oct. Filled Positions'!$B:$B,'Details-Oct. Filled Positions'!$1:$4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0" l="1"/>
  <c r="J26" i="10"/>
  <c r="J36" i="10"/>
  <c r="J81" i="10"/>
  <c r="J86" i="10"/>
  <c r="J88" i="10"/>
  <c r="J6" i="10"/>
  <c r="G90" i="10"/>
  <c r="D90" i="10"/>
  <c r="C90" i="10"/>
  <c r="I89" i="10"/>
  <c r="H89" i="10"/>
  <c r="G89" i="10"/>
  <c r="F89" i="10"/>
  <c r="E89" i="10"/>
  <c r="D89" i="10"/>
  <c r="C89" i="10"/>
  <c r="C87" i="10"/>
  <c r="J87" i="10" s="1"/>
  <c r="C85" i="10"/>
  <c r="J85" i="10" s="1"/>
  <c r="C84" i="10"/>
  <c r="J84" i="10" s="1"/>
  <c r="C83" i="10"/>
  <c r="J83" i="10" s="1"/>
  <c r="C82" i="10"/>
  <c r="J82" i="10" s="1"/>
  <c r="G80" i="10"/>
  <c r="J80" i="10" s="1"/>
  <c r="C79" i="10"/>
  <c r="J79" i="10" s="1"/>
  <c r="C78" i="10"/>
  <c r="J78" i="10" s="1"/>
  <c r="G77" i="10"/>
  <c r="C77" i="10"/>
  <c r="C76" i="10"/>
  <c r="J76" i="10" s="1"/>
  <c r="H75" i="10"/>
  <c r="G75" i="10"/>
  <c r="F75" i="10"/>
  <c r="D75" i="10"/>
  <c r="C75" i="10"/>
  <c r="G74" i="10"/>
  <c r="C74" i="10"/>
  <c r="G73" i="10"/>
  <c r="E73" i="10"/>
  <c r="C73" i="10"/>
  <c r="I72" i="10"/>
  <c r="H72" i="10"/>
  <c r="G72" i="10"/>
  <c r="D72" i="10"/>
  <c r="C72" i="10"/>
  <c r="G71" i="10"/>
  <c r="C71" i="10"/>
  <c r="G70" i="10"/>
  <c r="J70" i="10" s="1"/>
  <c r="C69" i="10"/>
  <c r="J69" i="10" s="1"/>
  <c r="I68" i="10"/>
  <c r="C68" i="10"/>
  <c r="C67" i="10"/>
  <c r="J67" i="10" s="1"/>
  <c r="C66" i="10"/>
  <c r="J66" i="10" s="1"/>
  <c r="C65" i="10"/>
  <c r="J65" i="10" s="1"/>
  <c r="I64" i="10"/>
  <c r="G64" i="10"/>
  <c r="C64" i="10"/>
  <c r="H63" i="10"/>
  <c r="J63" i="10" s="1"/>
  <c r="C62" i="10"/>
  <c r="J62" i="10" s="1"/>
  <c r="I61" i="10"/>
  <c r="J61" i="10" s="1"/>
  <c r="G60" i="10"/>
  <c r="J60" i="10" s="1"/>
  <c r="G59" i="10"/>
  <c r="C59" i="10"/>
  <c r="G58" i="10"/>
  <c r="C58" i="10"/>
  <c r="C57" i="10"/>
  <c r="J57" i="10" s="1"/>
  <c r="C56" i="10"/>
  <c r="J56" i="10" s="1"/>
  <c r="C55" i="10"/>
  <c r="J55" i="10" s="1"/>
  <c r="E54" i="10"/>
  <c r="C54" i="10"/>
  <c r="C53" i="10"/>
  <c r="J53" i="10" s="1"/>
  <c r="I52" i="10"/>
  <c r="C52" i="10"/>
  <c r="I51" i="10"/>
  <c r="H51" i="10"/>
  <c r="E51" i="10"/>
  <c r="D51" i="10"/>
  <c r="C51" i="10"/>
  <c r="E50" i="10"/>
  <c r="C50" i="10"/>
  <c r="I49" i="10"/>
  <c r="H49" i="10"/>
  <c r="G49" i="10"/>
  <c r="E49" i="10"/>
  <c r="D49" i="10"/>
  <c r="C49" i="10"/>
  <c r="G48" i="10"/>
  <c r="J48" i="10" s="1"/>
  <c r="C47" i="10"/>
  <c r="J47" i="10" s="1"/>
  <c r="C46" i="10"/>
  <c r="J46" i="10" s="1"/>
  <c r="C45" i="10"/>
  <c r="J45" i="10" s="1"/>
  <c r="C44" i="10"/>
  <c r="J44" i="10" s="1"/>
  <c r="I43" i="10"/>
  <c r="G43" i="10"/>
  <c r="E43" i="10"/>
  <c r="D43" i="10"/>
  <c r="C43" i="10"/>
  <c r="H42" i="10"/>
  <c r="G42" i="10"/>
  <c r="C42" i="10"/>
  <c r="C41" i="10"/>
  <c r="J41" i="10" s="1"/>
  <c r="C40" i="10"/>
  <c r="J40" i="10" s="1"/>
  <c r="I39" i="10"/>
  <c r="G39" i="10"/>
  <c r="D39" i="10"/>
  <c r="C39" i="10"/>
  <c r="G38" i="10"/>
  <c r="E38" i="10"/>
  <c r="D38" i="10"/>
  <c r="C38" i="10"/>
  <c r="I37" i="10"/>
  <c r="H37" i="10"/>
  <c r="G37" i="10"/>
  <c r="D37" i="10"/>
  <c r="C37" i="10"/>
  <c r="I35" i="10"/>
  <c r="G35" i="10"/>
  <c r="C35" i="10"/>
  <c r="C34" i="10"/>
  <c r="J34" i="10" s="1"/>
  <c r="G33" i="10"/>
  <c r="C33" i="10"/>
  <c r="C32" i="10"/>
  <c r="J32" i="10" s="1"/>
  <c r="C31" i="10"/>
  <c r="J31" i="10" s="1"/>
  <c r="C30" i="10"/>
  <c r="J30" i="10" s="1"/>
  <c r="I29" i="10"/>
  <c r="J29" i="10" s="1"/>
  <c r="C28" i="10"/>
  <c r="J28" i="10" s="1"/>
  <c r="C27" i="10"/>
  <c r="J27" i="10" s="1"/>
  <c r="C25" i="10"/>
  <c r="J25" i="10" s="1"/>
  <c r="I24" i="10"/>
  <c r="G24" i="10"/>
  <c r="C24" i="10"/>
  <c r="I22" i="10"/>
  <c r="G22" i="10"/>
  <c r="E22" i="10"/>
  <c r="D22" i="10"/>
  <c r="C22" i="10"/>
  <c r="C21" i="10"/>
  <c r="J21" i="10" s="1"/>
  <c r="I20" i="10"/>
  <c r="C20" i="10"/>
  <c r="G19" i="10"/>
  <c r="C19" i="10"/>
  <c r="I18" i="10"/>
  <c r="C18" i="10"/>
  <c r="H17" i="10"/>
  <c r="G17" i="10"/>
  <c r="C17" i="10"/>
  <c r="H16" i="10"/>
  <c r="C15" i="10"/>
  <c r="J15" i="10" s="1"/>
  <c r="G14" i="10"/>
  <c r="J14" i="10" s="1"/>
  <c r="G13" i="10"/>
  <c r="J13" i="10" s="1"/>
  <c r="C12" i="10"/>
  <c r="J12" i="10" s="1"/>
  <c r="I11" i="10"/>
  <c r="G11" i="10"/>
  <c r="E11" i="10"/>
  <c r="D11" i="10"/>
  <c r="C11" i="10"/>
  <c r="C10" i="10"/>
  <c r="J10" i="10" s="1"/>
  <c r="C9" i="10"/>
  <c r="J9" i="10" s="1"/>
  <c r="I8" i="10"/>
  <c r="C8" i="10"/>
  <c r="C7" i="10"/>
  <c r="J7" i="10" s="1"/>
  <c r="J5" i="10"/>
  <c r="E12" i="2"/>
  <c r="J58" i="10" l="1"/>
  <c r="J74" i="10"/>
  <c r="J68" i="10"/>
  <c r="J33" i="10"/>
  <c r="J35" i="10"/>
  <c r="J38" i="10"/>
  <c r="J72" i="10"/>
  <c r="J75" i="10"/>
  <c r="H91" i="10"/>
  <c r="J20" i="10"/>
  <c r="I91" i="10"/>
  <c r="J18" i="10"/>
  <c r="J37" i="10"/>
  <c r="J39" i="10"/>
  <c r="J49" i="10"/>
  <c r="J51" i="10"/>
  <c r="J54" i="10"/>
  <c r="J89" i="10"/>
  <c r="J77" i="10"/>
  <c r="J19" i="10"/>
  <c r="J90" i="10"/>
  <c r="J11" i="10"/>
  <c r="J42" i="10"/>
  <c r="J24" i="10"/>
  <c r="E91" i="10"/>
  <c r="J17" i="10"/>
  <c r="J52" i="10"/>
  <c r="J64" i="10"/>
  <c r="F91" i="10"/>
  <c r="G91" i="10"/>
  <c r="J43" i="10"/>
  <c r="J50" i="10"/>
  <c r="J73" i="10"/>
  <c r="J8" i="10"/>
  <c r="J22" i="10"/>
  <c r="J59" i="10"/>
  <c r="J71" i="10"/>
  <c r="J16" i="10"/>
  <c r="D91" i="10"/>
  <c r="C91" i="10"/>
  <c r="D14" i="2"/>
  <c r="E14" i="2"/>
  <c r="H17" i="2"/>
  <c r="H16" i="2"/>
  <c r="H12" i="2"/>
  <c r="G12" i="2"/>
  <c r="I18" i="2"/>
  <c r="I17" i="2"/>
  <c r="I16" i="2"/>
  <c r="I14" i="2"/>
  <c r="I13" i="2"/>
  <c r="I12" i="2"/>
  <c r="H18" i="2"/>
  <c r="H15" i="2"/>
  <c r="H14" i="2"/>
  <c r="H13" i="2"/>
  <c r="J91" i="10" l="1"/>
  <c r="E15" i="2"/>
  <c r="D12" i="2"/>
  <c r="F17" i="2"/>
  <c r="F16" i="2"/>
  <c r="J16" i="2"/>
  <c r="J17" i="2"/>
  <c r="K17" i="2" l="1"/>
  <c r="K16" i="2"/>
  <c r="J18" i="2" l="1"/>
  <c r="J15" i="2"/>
  <c r="F15" i="2"/>
  <c r="J14" i="2"/>
  <c r="J13" i="2"/>
  <c r="J12" i="2"/>
  <c r="K15" i="2" l="1"/>
  <c r="F18" i="2"/>
  <c r="F13" i="2"/>
  <c r="D19" i="2"/>
  <c r="H19" i="2"/>
  <c r="F12" i="2"/>
  <c r="K12" i="2" s="1"/>
  <c r="I19" i="2"/>
  <c r="J19" i="2"/>
  <c r="F14" i="2"/>
  <c r="E19" i="2"/>
  <c r="G19" i="2"/>
  <c r="K13" i="2" l="1"/>
  <c r="K18" i="2"/>
  <c r="F19" i="2"/>
  <c r="K14" i="2"/>
  <c r="K19" i="2" l="1"/>
</calcChain>
</file>

<file path=xl/sharedStrings.xml><?xml version="1.0" encoding="utf-8"?>
<sst xmlns="http://schemas.openxmlformats.org/spreadsheetml/2006/main" count="547" uniqueCount="128">
  <si>
    <t>Grand Total</t>
  </si>
  <si>
    <t>ASSISTANT SUPERINTENDENT</t>
  </si>
  <si>
    <t>EDUCATION ADMINISTRATOR</t>
  </si>
  <si>
    <t>PRINCIPAL - DAY HIGH SCHOOL</t>
  </si>
  <si>
    <t>PRINCIPAL - J.H.S.</t>
  </si>
  <si>
    <t>PRINCIPAL - DAY ELEMENTARY SCHOOL</t>
  </si>
  <si>
    <t>PRINCIPAL - DAY ELEMENTARY SCHOOL - TERM</t>
  </si>
  <si>
    <t>PRINCIPAL - ASSIGNED</t>
  </si>
  <si>
    <t>SUPERVISOR - FULL YEAR</t>
  </si>
  <si>
    <t>SCHOOL PSYCHOLOGIST - SABBATICAL LEAVE</t>
  </si>
  <si>
    <t>SCHOOL SOCIAL WORKER</t>
  </si>
  <si>
    <t>GUIDANCE COUNSELOR</t>
  </si>
  <si>
    <t>GUIDANCE COUNSELOR - SABBATICAL</t>
  </si>
  <si>
    <t>GUIDANCE COUNSELOR - BILINGUAL</t>
  </si>
  <si>
    <t>COACH - INSTRUCTIONAL</t>
  </si>
  <si>
    <t>COACH - INSTRUCTIONAL SPECIAL EDUCATION</t>
  </si>
  <si>
    <t>TEACHER - TRAINER</t>
  </si>
  <si>
    <t>LABORATORY SPECIALIST</t>
  </si>
  <si>
    <t>ADULT EDUCATION TEACHER</t>
  </si>
  <si>
    <t>SUBSTITUTE VOCATIONAL ASSISTANT</t>
  </si>
  <si>
    <t>LABORATORY ASSISTANT</t>
  </si>
  <si>
    <t>SCHOOL SECRETARY</t>
  </si>
  <si>
    <t>SCHOOL SECRETARY - TERMINAL LEAVE</t>
  </si>
  <si>
    <t>PROGRAM PRODUCER-TV/AUDIO, LEVEL 3</t>
  </si>
  <si>
    <t>EDUCATION OFFICER UFT</t>
  </si>
  <si>
    <t>DISTRICT BUSINESS MANAGER</t>
  </si>
  <si>
    <t>SCHOOL BUSINESS MANAGER</t>
  </si>
  <si>
    <t>SUBSTANCE ABUSE PREVENTION &amp; INTERV SPEC</t>
  </si>
  <si>
    <t>SENIOR SCHOOL NEIGHBORHOOD WORKER</t>
  </si>
  <si>
    <t>SCHOOL NEIGHBORHOOD WORKER</t>
  </si>
  <si>
    <t>ADMINISTRATIVE EDUCATION ANALYST</t>
  </si>
  <si>
    <t>ELEVATOR OPERATOR</t>
  </si>
  <si>
    <t>MACHINIST HELPER</t>
  </si>
  <si>
    <t>SCHOOL EQUIPMENT MAINTAINER</t>
  </si>
  <si>
    <t>PRINCIPAL ADMINISTRATIVE ASSOCIATE</t>
  </si>
  <si>
    <t>CLERICAL AIDE</t>
  </si>
  <si>
    <t>CLERICAL ASSOCIATE</t>
  </si>
  <si>
    <t>SECRETARY</t>
  </si>
  <si>
    <t>STOCKWORKER</t>
  </si>
  <si>
    <t>COMMUNITY COORDINATOR</t>
  </si>
  <si>
    <t>COMMUNITY ASSOCIATE</t>
  </si>
  <si>
    <t>OCCUPATIONAL THERAPIST (DOE)</t>
  </si>
  <si>
    <t>PHYSICAL THERAPIST (DOE)</t>
  </si>
  <si>
    <t>COMMUNITY ASSISTANT</t>
  </si>
  <si>
    <t>EDUCATIONAL PARAPROFESSIONAL(FY04+)</t>
  </si>
  <si>
    <t>IEP EDUCATIONAL PARAPROFESSIONAL(FY04+)</t>
  </si>
  <si>
    <t>TEACHER AIDE CITYWIDE (FY05+)</t>
  </si>
  <si>
    <t>SCHOOL COMPUTER TECHNOLOGY SPECIALIST</t>
  </si>
  <si>
    <t>COMPUTER PROGRAMMER ANALYST</t>
  </si>
  <si>
    <t>COMPUTER ASSOCIATE - OPERATOR</t>
  </si>
  <si>
    <t>COMPUTER AIDE</t>
  </si>
  <si>
    <t>COMPUTER SERVICE TECHNICIAN</t>
  </si>
  <si>
    <t>SUPERVISING COMPUTER SERVICE TECHNICIAN</t>
  </si>
  <si>
    <t>COMPUTER ASSOCIATE - SOFTWARE</t>
  </si>
  <si>
    <t xml:space="preserve">City Council Terms &amp; Conditions </t>
  </si>
  <si>
    <t>Per Diem</t>
  </si>
  <si>
    <t>P/T Total</t>
  </si>
  <si>
    <t>U/A 401</t>
  </si>
  <si>
    <t>U/A 403</t>
  </si>
  <si>
    <t>-</t>
  </si>
  <si>
    <t>U/A 481</t>
  </si>
  <si>
    <t>TOTAL</t>
  </si>
  <si>
    <t>ASSISTANT PRINCIPAL TITLES</t>
  </si>
  <si>
    <t xml:space="preserve">TEACHER TITLES </t>
  </si>
  <si>
    <t>HOURLY ADMIN TITLES</t>
  </si>
  <si>
    <t>PER DIEM STAFF</t>
  </si>
  <si>
    <t>SCHOOL GUARDS &amp; STUDENT AIDES-HOURLY</t>
  </si>
  <si>
    <t>FAMILY PARAS-HOURLY</t>
  </si>
  <si>
    <t>COMMUNITY ASSISTANT- part-time</t>
  </si>
  <si>
    <t>Total</t>
  </si>
  <si>
    <t xml:space="preserve"> U/A 401</t>
  </si>
  <si>
    <t xml:space="preserve"> U/A 403</t>
  </si>
  <si>
    <t xml:space="preserve"> U/A 481</t>
  </si>
  <si>
    <t>PRINCIPAL - MASTER &amp; MODEL</t>
  </si>
  <si>
    <t>PRINCIPAL - ADULT EDUCATION</t>
  </si>
  <si>
    <t>CERTIFIED IT ADMINISTRATOR (LAN/WAN)</t>
  </si>
  <si>
    <t xml:space="preserve"> U/A 407</t>
  </si>
  <si>
    <t xml:space="preserve"> U/A 409</t>
  </si>
  <si>
    <t>U/A Description</t>
  </si>
  <si>
    <t>UPK</t>
  </si>
  <si>
    <t>Gen. Ed. Instr. &amp; School Leadership</t>
  </si>
  <si>
    <t>Special Ed. Instr. &amp; School Leadership</t>
  </si>
  <si>
    <t>Categorical Programs</t>
  </si>
  <si>
    <t>Early Childhood</t>
  </si>
  <si>
    <t xml:space="preserve"> Non-Peds - o/c 001</t>
  </si>
  <si>
    <t>Peds - o/c 005</t>
  </si>
  <si>
    <t>Part Time - o/c 021</t>
  </si>
  <si>
    <t>Part -time - o/c 031</t>
  </si>
  <si>
    <t>NYC DOE</t>
  </si>
  <si>
    <t>School-based staff</t>
  </si>
  <si>
    <t>U/A 409</t>
  </si>
  <si>
    <t>U/A 407</t>
  </si>
  <si>
    <t>COMPUTER ASSOCIATE - TECH SUPPORT</t>
  </si>
  <si>
    <t>COMPUTER SPECIALIST SOFTWARE</t>
  </si>
  <si>
    <t>TEACHER ASSISTANT LEAD ED. PARA,SPECIAL ED. &amp; ESL</t>
  </si>
  <si>
    <t>SCHOOL PSYCHOLOGIST (&amp; BILINGUAL)</t>
  </si>
  <si>
    <t>SCHOOL SOCIAL WORKER SABBATICAL</t>
  </si>
  <si>
    <t>ADULT EDUCATION TEACHER - SABBATICAL</t>
  </si>
  <si>
    <t>SCHOOL AIDES -  HOURLY</t>
  </si>
  <si>
    <t>Full - time/ Total</t>
  </si>
  <si>
    <t>GUIDANCE COUNSELOR - TERMINAL LEAVE</t>
  </si>
  <si>
    <t>LABORATORY SPECIALIST-TERMINAL LEAVE</t>
  </si>
  <si>
    <t>ADMINISTRATIVE EDUCATION ANALYST (UNION)</t>
  </si>
  <si>
    <t>ADMINISTRATIVE EDUCATION OFFICER (UNION)</t>
  </si>
  <si>
    <t>Titles</t>
  </si>
  <si>
    <t>F/T &amp; P/T Details</t>
  </si>
  <si>
    <t>ADULT EDUCATION TEACHER TERMINAL LEAVE</t>
  </si>
  <si>
    <t>SCHOOL PSYCHOLOGIST- TERMINAL LEAVE</t>
  </si>
  <si>
    <t>SCHOOL SOCIAL WORKER TERMINAL LEAVE</t>
  </si>
  <si>
    <t>COMMUNITY ASSOCIATE - part-time</t>
  </si>
  <si>
    <t>ATTENDANCE TEACHER- SABBATICAL</t>
  </si>
  <si>
    <t>PSYCHOLOGIST-IN-TRAINING</t>
  </si>
  <si>
    <t>PRINCIPAL - DAY ELEMENTARY SABBATICAL</t>
  </si>
  <si>
    <t>FAMIS Filled Positions - FY 2026</t>
  </si>
  <si>
    <t>Due:  November 15, 2025</t>
  </si>
  <si>
    <t>FY 2026 - October Filled Positions</t>
  </si>
  <si>
    <t>FY 2026 HEADCOUNT ACTUALS FOR CITY COUNCIL</t>
  </si>
  <si>
    <t xml:space="preserve"> U/A 421</t>
  </si>
  <si>
    <t>U/A 423</t>
  </si>
  <si>
    <t>U/A 421</t>
  </si>
  <si>
    <t>Citywide Special Ed. &amp; School Leadership</t>
  </si>
  <si>
    <t>Special Ed. Direct Services</t>
  </si>
  <si>
    <t>ATTENDANCE TEACHER</t>
  </si>
  <si>
    <t>MENTAL HEALTH WORKER</t>
  </si>
  <si>
    <t>STAFF AUDIOLOGIST</t>
  </si>
  <si>
    <t>SIGN LANGUAGE INTERPRETER</t>
  </si>
  <si>
    <t>PRINCIPAL SMED  SCHOOLS</t>
  </si>
  <si>
    <t>Note:  Totals may not match details tab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</si>
</sst>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EE"/>
        <bgColor indexed="64"/>
      </patternFill>
    </fill>
    <fill>
      <patternFill patternType="solid">
        <fgColor rgb="FFE7FFEA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rgb="FFC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ck">
        <color indexed="64"/>
      </bottom>
      <diagonal/>
    </border>
    <border>
      <left/>
      <right style="thin">
        <color indexed="64"/>
      </right>
      <top style="thin">
        <color rgb="FFC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C00000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4" fontId="0" fillId="0" borderId="0" xfId="0" applyNumberFormat="1"/>
    <xf numFmtId="0" fontId="2" fillId="0" borderId="8" xfId="0" applyFont="1" applyBorder="1" applyAlignment="1">
      <alignment wrapText="1"/>
    </xf>
    <xf numFmtId="0" fontId="0" fillId="0" borderId="9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0" fillId="2" borderId="9" xfId="0" applyFill="1" applyBorder="1" applyAlignment="1">
      <alignment horizontal="left"/>
    </xf>
    <xf numFmtId="164" fontId="0" fillId="0" borderId="0" xfId="1" applyNumberFormat="1" applyFont="1"/>
    <xf numFmtId="0" fontId="0" fillId="0" borderId="19" xfId="0" applyBorder="1"/>
    <xf numFmtId="0" fontId="2" fillId="3" borderId="1" xfId="0" applyFont="1" applyFill="1" applyBorder="1"/>
    <xf numFmtId="164" fontId="2" fillId="3" borderId="16" xfId="1" applyNumberFormat="1" applyFont="1" applyFill="1" applyBorder="1" applyAlignment="1">
      <alignment horizontal="center"/>
    </xf>
    <xf numFmtId="164" fontId="2" fillId="3" borderId="15" xfId="1" quotePrefix="1" applyNumberFormat="1" applyFont="1" applyFill="1" applyBorder="1" applyAlignment="1">
      <alignment horizontal="right"/>
    </xf>
    <xf numFmtId="164" fontId="2" fillId="3" borderId="1" xfId="1" quotePrefix="1" applyNumberFormat="1" applyFont="1" applyFill="1" applyBorder="1" applyAlignment="1">
      <alignment horizontal="right"/>
    </xf>
    <xf numFmtId="0" fontId="5" fillId="0" borderId="0" xfId="0" applyFont="1"/>
    <xf numFmtId="164" fontId="2" fillId="4" borderId="7" xfId="1" applyNumberFormat="1" applyFont="1" applyFill="1" applyBorder="1" applyAlignment="1">
      <alignment horizontal="center" wrapText="1"/>
    </xf>
    <xf numFmtId="164" fontId="2" fillId="4" borderId="2" xfId="1" applyNumberFormat="1" applyFont="1" applyFill="1" applyBorder="1" applyAlignment="1">
      <alignment horizontal="center" wrapText="1"/>
    </xf>
    <xf numFmtId="164" fontId="2" fillId="4" borderId="3" xfId="1" applyNumberFormat="1" applyFont="1" applyFill="1" applyBorder="1" applyAlignment="1">
      <alignment horizontal="center" wrapText="1"/>
    </xf>
    <xf numFmtId="164" fontId="1" fillId="4" borderId="4" xfId="1" quotePrefix="1" applyNumberFormat="1" applyFont="1" applyFill="1" applyBorder="1" applyAlignment="1">
      <alignment horizontal="center"/>
    </xf>
    <xf numFmtId="164" fontId="1" fillId="4" borderId="5" xfId="1" quotePrefix="1" applyNumberFormat="1" applyFont="1" applyFill="1" applyBorder="1" applyAlignment="1">
      <alignment horizontal="center"/>
    </xf>
    <xf numFmtId="164" fontId="1" fillId="4" borderId="17" xfId="1" quotePrefix="1" applyNumberFormat="1" applyFont="1" applyFill="1" applyBorder="1" applyAlignment="1">
      <alignment horizontal="center"/>
    </xf>
    <xf numFmtId="164" fontId="1" fillId="4" borderId="6" xfId="1" applyNumberFormat="1" applyFont="1" applyFill="1" applyBorder="1" applyAlignment="1">
      <alignment horizontal="center"/>
    </xf>
    <xf numFmtId="164" fontId="2" fillId="4" borderId="18" xfId="1" quotePrefix="1" applyNumberFormat="1" applyFont="1" applyFill="1" applyBorder="1" applyAlignment="1">
      <alignment horizontal="center"/>
    </xf>
    <xf numFmtId="164" fontId="2" fillId="4" borderId="14" xfId="1" applyNumberFormat="1" applyFont="1" applyFill="1" applyBorder="1" applyAlignment="1">
      <alignment horizontal="center"/>
    </xf>
    <xf numFmtId="164" fontId="2" fillId="4" borderId="20" xfId="1" applyNumberFormat="1" applyFont="1" applyFill="1" applyBorder="1" applyAlignment="1">
      <alignment horizontal="center"/>
    </xf>
    <xf numFmtId="164" fontId="6" fillId="0" borderId="0" xfId="1" applyNumberFormat="1" applyFont="1"/>
    <xf numFmtId="164" fontId="1" fillId="0" borderId="0" xfId="1" applyNumberFormat="1" applyFont="1"/>
    <xf numFmtId="0" fontId="5" fillId="0" borderId="0" xfId="0" quotePrefix="1" applyFont="1" applyAlignment="1">
      <alignment horizontal="left"/>
    </xf>
    <xf numFmtId="164" fontId="2" fillId="4" borderId="10" xfId="1" quotePrefix="1" applyNumberFormat="1" applyFont="1" applyFill="1" applyBorder="1" applyAlignment="1">
      <alignment horizontal="center"/>
    </xf>
    <xf numFmtId="164" fontId="2" fillId="4" borderId="11" xfId="1" quotePrefix="1" applyNumberFormat="1" applyFont="1" applyFill="1" applyBorder="1" applyAlignment="1">
      <alignment horizontal="center"/>
    </xf>
    <xf numFmtId="164" fontId="2" fillId="4" borderId="12" xfId="1" quotePrefix="1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/>
    <xf numFmtId="0" fontId="2" fillId="0" borderId="22" xfId="0" quotePrefix="1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quotePrefix="1" applyFont="1" applyBorder="1" applyAlignment="1">
      <alignment horizontal="center" wrapText="1"/>
    </xf>
    <xf numFmtId="0" fontId="2" fillId="0" borderId="22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 wrapText="1"/>
    </xf>
    <xf numFmtId="0" fontId="2" fillId="3" borderId="25" xfId="0" applyFont="1" applyFill="1" applyBorder="1"/>
    <xf numFmtId="164" fontId="2" fillId="3" borderId="26" xfId="1" quotePrefix="1" applyNumberFormat="1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8" xfId="0" applyFont="1" applyFill="1" applyBorder="1"/>
    <xf numFmtId="164" fontId="2" fillId="3" borderId="28" xfId="1" applyNumberFormat="1" applyFont="1" applyFill="1" applyBorder="1" applyAlignment="1">
      <alignment horizontal="center"/>
    </xf>
    <xf numFmtId="164" fontId="2" fillId="3" borderId="29" xfId="1" applyNumberFormat="1" applyFont="1" applyFill="1" applyBorder="1" applyAlignment="1">
      <alignment horizontal="center"/>
    </xf>
    <xf numFmtId="164" fontId="2" fillId="3" borderId="30" xfId="1" applyNumberFormat="1" applyFont="1" applyFill="1" applyBorder="1" applyAlignment="1">
      <alignment horizontal="center"/>
    </xf>
    <xf numFmtId="164" fontId="2" fillId="3" borderId="31" xfId="1" applyNumberFormat="1" applyFont="1" applyFill="1" applyBorder="1" applyAlignment="1">
      <alignment horizontal="center"/>
    </xf>
    <xf numFmtId="0" fontId="7" fillId="3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9EB"/>
      <color rgb="FFF6FBD5"/>
      <color rgb="FFFFFF66"/>
      <color rgb="FFE7FFEA"/>
      <color rgb="FFF9F6F5"/>
      <color rgb="FFDAE2DA"/>
      <color rgb="FFEDECF4"/>
      <color rgb="FFEFF2EE"/>
      <color rgb="FFEEEFED"/>
      <color rgb="FFEDF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tabColor rgb="FFE0F4E2"/>
  </sheetPr>
  <dimension ref="B2:K303"/>
  <sheetViews>
    <sheetView showGridLines="0" tabSelected="1" zoomScale="115" zoomScaleNormal="11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B9" sqref="B9"/>
    </sheetView>
  </sheetViews>
  <sheetFormatPr defaultRowHeight="15" customHeight="1" x14ac:dyDescent="0.25"/>
  <cols>
    <col min="1" max="1" width="2.85546875" customWidth="1"/>
    <col min="2" max="2" width="13.5703125" customWidth="1"/>
    <col min="3" max="3" width="38.140625" bestFit="1" customWidth="1"/>
    <col min="4" max="4" width="13" customWidth="1"/>
    <col min="5" max="5" width="12.85546875" customWidth="1"/>
    <col min="6" max="6" width="11.85546875" customWidth="1"/>
    <col min="7" max="7" width="10.5703125" customWidth="1"/>
    <col min="8" max="8" width="11.7109375" customWidth="1"/>
    <col min="9" max="9" width="10.5703125" customWidth="1"/>
    <col min="10" max="10" width="10.42578125" customWidth="1"/>
    <col min="11" max="11" width="11.85546875" customWidth="1"/>
    <col min="12" max="12" width="10" customWidth="1"/>
    <col min="13" max="13" width="9.28515625" customWidth="1"/>
    <col min="14" max="14" width="9.140625" customWidth="1"/>
    <col min="15" max="15" width="12.28515625" bestFit="1" customWidth="1"/>
    <col min="16" max="16" width="12.28515625" customWidth="1"/>
    <col min="17" max="17" width="32" customWidth="1"/>
    <col min="18" max="18" width="28.28515625" customWidth="1"/>
    <col min="19" max="19" width="11.7109375" customWidth="1"/>
    <col min="20" max="20" width="9.140625" customWidth="1"/>
    <col min="25" max="29" width="9.140625" customWidth="1"/>
    <col min="31" max="31" width="9.140625" customWidth="1"/>
  </cols>
  <sheetData>
    <row r="2" spans="2:11" ht="21" x14ac:dyDescent="0.35">
      <c r="B2" s="15" t="s">
        <v>88</v>
      </c>
      <c r="C2" s="1"/>
    </row>
    <row r="3" spans="2:11" ht="21" x14ac:dyDescent="0.35">
      <c r="B3" s="15" t="s">
        <v>54</v>
      </c>
      <c r="C3" s="1"/>
    </row>
    <row r="4" spans="2:11" ht="21" x14ac:dyDescent="0.35">
      <c r="B4" s="15" t="s">
        <v>113</v>
      </c>
      <c r="C4" s="1"/>
    </row>
    <row r="5" spans="2:11" ht="18.75" x14ac:dyDescent="0.3">
      <c r="B5" s="1" t="s">
        <v>114</v>
      </c>
      <c r="C5" s="1"/>
    </row>
    <row r="6" spans="2:11" ht="18.75" x14ac:dyDescent="0.3">
      <c r="B6" s="1"/>
      <c r="C6" s="1"/>
    </row>
    <row r="7" spans="2:11" ht="18.75" x14ac:dyDescent="0.3">
      <c r="B7" s="1"/>
      <c r="C7" s="1"/>
    </row>
    <row r="8" spans="2:11" x14ac:dyDescent="0.25"/>
    <row r="9" spans="2:11" x14ac:dyDescent="0.25"/>
    <row r="10" spans="2:11" ht="19.5" thickBot="1" x14ac:dyDescent="0.35">
      <c r="B10" s="7" t="s">
        <v>115</v>
      </c>
      <c r="C10" s="1"/>
    </row>
    <row r="11" spans="2:11" ht="31.5" thickTop="1" thickBot="1" x14ac:dyDescent="0.3">
      <c r="B11" s="32" t="s">
        <v>89</v>
      </c>
      <c r="C11" s="33" t="s">
        <v>78</v>
      </c>
      <c r="D11" s="34" t="s">
        <v>84</v>
      </c>
      <c r="E11" s="35" t="s">
        <v>85</v>
      </c>
      <c r="F11" s="36" t="s">
        <v>99</v>
      </c>
      <c r="G11" s="34" t="s">
        <v>86</v>
      </c>
      <c r="H11" s="34" t="s">
        <v>87</v>
      </c>
      <c r="I11" s="35" t="s">
        <v>55</v>
      </c>
      <c r="J11" s="37" t="s">
        <v>56</v>
      </c>
      <c r="K11" s="38" t="s">
        <v>0</v>
      </c>
    </row>
    <row r="12" spans="2:11" ht="15.75" thickTop="1" x14ac:dyDescent="0.25">
      <c r="B12" s="39" t="s">
        <v>57</v>
      </c>
      <c r="C12" s="11" t="s">
        <v>80</v>
      </c>
      <c r="D12" s="14">
        <f>2865</f>
        <v>2865</v>
      </c>
      <c r="E12" s="14">
        <f>61698+198</f>
        <v>61896</v>
      </c>
      <c r="F12" s="12">
        <f>E12+D12</f>
        <v>64761</v>
      </c>
      <c r="G12" s="13">
        <f>1+3</f>
        <v>4</v>
      </c>
      <c r="H12" s="13">
        <f>6260+2</f>
        <v>6262</v>
      </c>
      <c r="I12" s="13">
        <f>240</f>
        <v>240</v>
      </c>
      <c r="J12" s="13">
        <f>SUM(G12:I12)</f>
        <v>6506</v>
      </c>
      <c r="K12" s="40">
        <f>J12+F12</f>
        <v>71267</v>
      </c>
    </row>
    <row r="13" spans="2:11" x14ac:dyDescent="0.25">
      <c r="B13" s="39" t="s">
        <v>58</v>
      </c>
      <c r="C13" s="11" t="s">
        <v>81</v>
      </c>
      <c r="D13" s="14">
        <v>16.700000000000003</v>
      </c>
      <c r="E13" s="14">
        <v>30306.686700000009</v>
      </c>
      <c r="F13" s="12">
        <f t="shared" ref="F13:F18" si="0">E13+D13</f>
        <v>30323.38670000001</v>
      </c>
      <c r="G13" s="13" t="s">
        <v>59</v>
      </c>
      <c r="H13" s="13">
        <f>6</f>
        <v>6</v>
      </c>
      <c r="I13" s="13">
        <f>29</f>
        <v>29</v>
      </c>
      <c r="J13" s="13">
        <f t="shared" ref="J13:J18" si="1">SUM(G13:I13)</f>
        <v>35</v>
      </c>
      <c r="K13" s="40">
        <f t="shared" ref="K13:K18" si="2">J13+F13</f>
        <v>30358.38670000001</v>
      </c>
    </row>
    <row r="14" spans="2:11" x14ac:dyDescent="0.25">
      <c r="B14" s="39" t="s">
        <v>91</v>
      </c>
      <c r="C14" s="11" t="s">
        <v>79</v>
      </c>
      <c r="D14" s="14">
        <f>179</f>
        <v>179</v>
      </c>
      <c r="E14" s="14">
        <f>6827+129+103</f>
        <v>7059</v>
      </c>
      <c r="F14" s="12">
        <f t="shared" si="0"/>
        <v>7238</v>
      </c>
      <c r="G14" s="13" t="s">
        <v>59</v>
      </c>
      <c r="H14" s="13">
        <f>67</f>
        <v>67</v>
      </c>
      <c r="I14" s="13">
        <f>7</f>
        <v>7</v>
      </c>
      <c r="J14" s="13">
        <f t="shared" si="1"/>
        <v>74</v>
      </c>
      <c r="K14" s="40">
        <f t="shared" si="2"/>
        <v>7312</v>
      </c>
    </row>
    <row r="15" spans="2:11" x14ac:dyDescent="0.25">
      <c r="B15" s="39" t="s">
        <v>90</v>
      </c>
      <c r="C15" s="11" t="s">
        <v>83</v>
      </c>
      <c r="D15" s="14" t="s">
        <v>59</v>
      </c>
      <c r="E15" s="14">
        <f>73</f>
        <v>73</v>
      </c>
      <c r="F15" s="12">
        <f t="shared" si="0"/>
        <v>73</v>
      </c>
      <c r="G15" s="13" t="s">
        <v>59</v>
      </c>
      <c r="H15" s="13">
        <f>0</f>
        <v>0</v>
      </c>
      <c r="I15" s="13" t="s">
        <v>59</v>
      </c>
      <c r="J15" s="13">
        <f t="shared" si="1"/>
        <v>0</v>
      </c>
      <c r="K15" s="40">
        <f t="shared" si="2"/>
        <v>73</v>
      </c>
    </row>
    <row r="16" spans="2:11" x14ac:dyDescent="0.25">
      <c r="B16" s="39" t="s">
        <v>119</v>
      </c>
      <c r="C16" s="11" t="s">
        <v>120</v>
      </c>
      <c r="D16" s="14">
        <v>1229.0900000000001</v>
      </c>
      <c r="E16" s="14">
        <v>16196.903799999996</v>
      </c>
      <c r="F16" s="12">
        <f>E16+D16</f>
        <v>17425.993799999997</v>
      </c>
      <c r="G16" s="13" t="s">
        <v>59</v>
      </c>
      <c r="H16" s="13">
        <f>316+19</f>
        <v>335</v>
      </c>
      <c r="I16" s="13">
        <f>24</f>
        <v>24</v>
      </c>
      <c r="J16" s="13">
        <f t="shared" ref="J16:J17" si="3">SUM(G16:I16)</f>
        <v>359</v>
      </c>
      <c r="K16" s="40">
        <f t="shared" si="2"/>
        <v>17784.993799999997</v>
      </c>
    </row>
    <row r="17" spans="2:11" x14ac:dyDescent="0.25">
      <c r="B17" s="39" t="s">
        <v>118</v>
      </c>
      <c r="C17" s="11" t="s">
        <v>121</v>
      </c>
      <c r="D17" s="14">
        <v>1639.98</v>
      </c>
      <c r="E17" s="14">
        <v>1297.9244999999999</v>
      </c>
      <c r="F17" s="12">
        <f>E17+D17</f>
        <v>2937.9044999999996</v>
      </c>
      <c r="G17" s="13" t="s">
        <v>59</v>
      </c>
      <c r="H17" s="13">
        <f>859+10</f>
        <v>869</v>
      </c>
      <c r="I17" s="13">
        <f>6</f>
        <v>6</v>
      </c>
      <c r="J17" s="13">
        <f t="shared" si="3"/>
        <v>875</v>
      </c>
      <c r="K17" s="40">
        <f t="shared" si="2"/>
        <v>3812.9044999999996</v>
      </c>
    </row>
    <row r="18" spans="2:11" x14ac:dyDescent="0.25">
      <c r="B18" s="39" t="s">
        <v>60</v>
      </c>
      <c r="C18" s="11" t="s">
        <v>82</v>
      </c>
      <c r="D18" s="14">
        <v>450.5200000000001</v>
      </c>
      <c r="E18" s="14">
        <v>3987.3382000000001</v>
      </c>
      <c r="F18" s="12">
        <f t="shared" si="0"/>
        <v>4437.8582000000006</v>
      </c>
      <c r="G18" s="13" t="s">
        <v>59</v>
      </c>
      <c r="H18" s="13">
        <f>121</f>
        <v>121</v>
      </c>
      <c r="I18" s="13">
        <f>71</f>
        <v>71</v>
      </c>
      <c r="J18" s="13">
        <f t="shared" si="1"/>
        <v>192</v>
      </c>
      <c r="K18" s="40">
        <f t="shared" si="2"/>
        <v>4629.8582000000006</v>
      </c>
    </row>
    <row r="19" spans="2:11" ht="15.75" thickBot="1" x14ac:dyDescent="0.3">
      <c r="B19" s="41" t="s">
        <v>61</v>
      </c>
      <c r="C19" s="42"/>
      <c r="D19" s="43">
        <f t="shared" ref="D19:K19" si="4">SUM(D12:D18)</f>
        <v>6380.2900000000009</v>
      </c>
      <c r="E19" s="43">
        <f t="shared" si="4"/>
        <v>120816.8532</v>
      </c>
      <c r="F19" s="44">
        <f t="shared" si="4"/>
        <v>127197.14320000001</v>
      </c>
      <c r="G19" s="45">
        <f t="shared" si="4"/>
        <v>4</v>
      </c>
      <c r="H19" s="43">
        <f t="shared" si="4"/>
        <v>7660</v>
      </c>
      <c r="I19" s="43">
        <f t="shared" si="4"/>
        <v>377</v>
      </c>
      <c r="J19" s="43">
        <f t="shared" si="4"/>
        <v>8041</v>
      </c>
      <c r="K19" s="46">
        <f t="shared" si="4"/>
        <v>135238.14319999999</v>
      </c>
    </row>
    <row r="20" spans="2:11" ht="15.75" thickTop="1" x14ac:dyDescent="0.25">
      <c r="D20" s="2"/>
      <c r="E20" s="2"/>
      <c r="F20" s="2"/>
      <c r="G20" s="2"/>
      <c r="H20" s="2"/>
      <c r="I20" s="2"/>
      <c r="J20" s="2"/>
      <c r="K20" s="2"/>
    </row>
    <row r="21" spans="2:11" x14ac:dyDescent="0.25"/>
    <row r="22" spans="2:11" x14ac:dyDescent="0.25">
      <c r="B22" s="47" t="s">
        <v>127</v>
      </c>
    </row>
    <row r="23" spans="2:11" x14ac:dyDescent="0.25"/>
    <row r="24" spans="2:11" x14ac:dyDescent="0.25"/>
    <row r="25" spans="2:11" x14ac:dyDescent="0.25"/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ht="24" customHeight="1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ht="1.5" customHeight="1" x14ac:dyDescent="0.25"/>
    <row r="78" x14ac:dyDescent="0.25"/>
    <row r="79" ht="14.25" customHeight="1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3" ht="30.75" customHeight="1" x14ac:dyDescent="0.25"/>
    <row r="99" ht="23.25" customHeight="1" x14ac:dyDescent="0.25"/>
    <row r="119" ht="20.25" customHeight="1" x14ac:dyDescent="0.25"/>
    <row r="120" ht="37.5" customHeight="1" x14ac:dyDescent="0.25"/>
    <row r="121" ht="51.75" customHeight="1" x14ac:dyDescent="0.25"/>
    <row r="127" ht="23.25" customHeight="1" x14ac:dyDescent="0.25"/>
    <row r="131" ht="28.5" customHeight="1" x14ac:dyDescent="0.25"/>
    <row r="132" ht="36.75" customHeight="1" x14ac:dyDescent="0.25"/>
    <row r="138" ht="21.75" customHeight="1" x14ac:dyDescent="0.25"/>
    <row r="142" ht="31.5" customHeight="1" x14ac:dyDescent="0.25"/>
    <row r="143" ht="58.5" customHeight="1" x14ac:dyDescent="0.25"/>
    <row r="155" ht="27" customHeight="1" x14ac:dyDescent="0.25"/>
    <row r="156" ht="38.25" customHeight="1" x14ac:dyDescent="0.25"/>
    <row r="169" ht="41.25" customHeight="1" x14ac:dyDescent="0.25"/>
    <row r="176" ht="36.75" customHeight="1" x14ac:dyDescent="0.25"/>
    <row r="181" ht="21.75" customHeight="1" x14ac:dyDescent="0.25"/>
    <row r="182" ht="41.25" customHeight="1" x14ac:dyDescent="0.25"/>
    <row r="194" x14ac:dyDescent="0.25"/>
    <row r="195" ht="41.25" customHeight="1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ht="24" customHeight="1" x14ac:dyDescent="0.25"/>
    <row r="203" x14ac:dyDescent="0.25"/>
    <row r="209" ht="41.25" customHeight="1" x14ac:dyDescent="0.25"/>
    <row r="223" ht="43.5" customHeight="1" x14ac:dyDescent="0.25"/>
    <row r="237" ht="31.5" customHeight="1" x14ac:dyDescent="0.25"/>
    <row r="251" ht="39.75" customHeight="1" x14ac:dyDescent="0.25"/>
    <row r="259" ht="29.25" customHeight="1" x14ac:dyDescent="0.25"/>
    <row r="268" ht="17.25" customHeight="1" x14ac:dyDescent="0.25"/>
    <row r="270" ht="30" customHeight="1" x14ac:dyDescent="0.25"/>
    <row r="282" ht="19.5" customHeight="1" x14ac:dyDescent="0.25"/>
    <row r="288" ht="17.25" customHeight="1" x14ac:dyDescent="0.25"/>
    <row r="302" ht="1.5" customHeight="1" x14ac:dyDescent="0.25"/>
    <row r="303" ht="33" customHeight="1" x14ac:dyDescent="0.25"/>
  </sheetData>
  <pageMargins left="0.45" right="0.45" top="0.5" bottom="0.5" header="0.3" footer="0.3"/>
  <pageSetup scale="65" orientation="portrait" cellComments="asDisplayed" r:id="rId1"/>
  <rowBreaks count="1" manualBreakCount="1">
    <brk id="357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266E-76FE-4322-B1AB-49D46CA22414}">
  <sheetPr transitionEvaluation="1" transitionEntry="1">
    <tabColor rgb="FFE0F4E2"/>
  </sheetPr>
  <dimension ref="B1:J106"/>
  <sheetViews>
    <sheetView zoomScale="85" zoomScaleNormal="85" workbookViewId="0">
      <pane xSplit="2" ySplit="4" topLeftCell="C5" activePane="bottomRight" state="frozen"/>
      <selection activeCell="B1" sqref="B1"/>
      <selection pane="topRight" activeCell="C1" sqref="C1"/>
      <selection pane="bottomLeft" activeCell="B5" sqref="B5"/>
      <selection pane="bottomRight"/>
    </sheetView>
  </sheetViews>
  <sheetFormatPr defaultRowHeight="15" customHeight="1" x14ac:dyDescent="0.25"/>
  <cols>
    <col min="1" max="1" width="7" customWidth="1"/>
    <col min="2" max="2" width="59.5703125" customWidth="1"/>
    <col min="3" max="3" width="11.5703125" style="9" customWidth="1"/>
    <col min="4" max="4" width="11.85546875" style="27" customWidth="1"/>
    <col min="5" max="5" width="11.5703125" style="9" customWidth="1"/>
    <col min="6" max="9" width="13.42578125" style="9" customWidth="1"/>
    <col min="10" max="10" width="12.140625" style="9" customWidth="1"/>
    <col min="12" max="12" width="11.5703125" customWidth="1"/>
    <col min="13" max="13" width="11.85546875" customWidth="1"/>
    <col min="14" max="14" width="11.5703125" customWidth="1"/>
    <col min="15" max="18" width="13.42578125" customWidth="1"/>
    <col min="19" max="19" width="12.140625" customWidth="1"/>
    <col min="22" max="22" width="11.5703125" customWidth="1"/>
    <col min="23" max="23" width="11.85546875" customWidth="1"/>
    <col min="24" max="24" width="11.5703125" customWidth="1"/>
    <col min="25" max="28" width="13.42578125" customWidth="1"/>
    <col min="29" max="29" width="12.140625" customWidth="1"/>
    <col min="30" max="30" width="12.7109375" bestFit="1" customWidth="1"/>
  </cols>
  <sheetData>
    <row r="1" spans="2:10" ht="21" x14ac:dyDescent="0.35">
      <c r="B1" s="28" t="s">
        <v>116</v>
      </c>
      <c r="D1" s="26"/>
    </row>
    <row r="2" spans="2:10" ht="16.5" thickBot="1" x14ac:dyDescent="0.3">
      <c r="B2" s="7" t="s">
        <v>105</v>
      </c>
    </row>
    <row r="3" spans="2:10" ht="27" customHeight="1" thickTop="1" x14ac:dyDescent="0.25">
      <c r="B3" s="10"/>
      <c r="C3" s="29" t="s">
        <v>115</v>
      </c>
      <c r="D3" s="30"/>
      <c r="E3" s="30"/>
      <c r="F3" s="30"/>
      <c r="G3" s="30"/>
      <c r="H3" s="30"/>
      <c r="I3" s="30"/>
      <c r="J3" s="31"/>
    </row>
    <row r="4" spans="2:10" ht="45" customHeight="1" thickBot="1" x14ac:dyDescent="0.3">
      <c r="B4" s="3" t="s">
        <v>104</v>
      </c>
      <c r="C4" s="16" t="s">
        <v>70</v>
      </c>
      <c r="D4" s="17" t="s">
        <v>71</v>
      </c>
      <c r="E4" s="17" t="s">
        <v>76</v>
      </c>
      <c r="F4" s="17" t="s">
        <v>77</v>
      </c>
      <c r="G4" s="17" t="s">
        <v>117</v>
      </c>
      <c r="H4" s="17" t="s">
        <v>118</v>
      </c>
      <c r="I4" s="17" t="s">
        <v>72</v>
      </c>
      <c r="J4" s="18" t="s">
        <v>69</v>
      </c>
    </row>
    <row r="5" spans="2:10" ht="14.25" customHeight="1" x14ac:dyDescent="0.25">
      <c r="B5" s="5" t="s">
        <v>30</v>
      </c>
      <c r="C5" s="19">
        <v>1</v>
      </c>
      <c r="D5" s="20" t="s">
        <v>59</v>
      </c>
      <c r="E5" s="20" t="s">
        <v>59</v>
      </c>
      <c r="F5" s="21" t="s">
        <v>59</v>
      </c>
      <c r="G5" s="21" t="s">
        <v>59</v>
      </c>
      <c r="H5" s="21" t="s">
        <v>59</v>
      </c>
      <c r="I5" s="21" t="s">
        <v>59</v>
      </c>
      <c r="J5" s="22">
        <f t="shared" ref="J5:J52" si="0">SUM(C5:I5)</f>
        <v>1</v>
      </c>
    </row>
    <row r="6" spans="2:10" x14ac:dyDescent="0.25">
      <c r="B6" s="5" t="s">
        <v>102</v>
      </c>
      <c r="C6" s="19">
        <v>1</v>
      </c>
      <c r="D6" s="20" t="s">
        <v>59</v>
      </c>
      <c r="E6" s="20" t="s">
        <v>59</v>
      </c>
      <c r="F6" s="20" t="s">
        <v>59</v>
      </c>
      <c r="G6" s="20" t="s">
        <v>59</v>
      </c>
      <c r="H6" s="20" t="s">
        <v>59</v>
      </c>
      <c r="I6" s="20" t="s">
        <v>59</v>
      </c>
      <c r="J6" s="22">
        <f t="shared" si="0"/>
        <v>1</v>
      </c>
    </row>
    <row r="7" spans="2:10" x14ac:dyDescent="0.25">
      <c r="B7" s="5" t="s">
        <v>103</v>
      </c>
      <c r="C7" s="19">
        <f>3</f>
        <v>3</v>
      </c>
      <c r="D7" s="20" t="s">
        <v>59</v>
      </c>
      <c r="E7" s="20" t="s">
        <v>59</v>
      </c>
      <c r="F7" s="20" t="s">
        <v>59</v>
      </c>
      <c r="G7" s="20" t="s">
        <v>59</v>
      </c>
      <c r="H7" s="20" t="s">
        <v>59</v>
      </c>
      <c r="I7" s="20" t="s">
        <v>59</v>
      </c>
      <c r="J7" s="22">
        <f t="shared" si="0"/>
        <v>3</v>
      </c>
    </row>
    <row r="8" spans="2:10" x14ac:dyDescent="0.25">
      <c r="B8" s="4" t="s">
        <v>18</v>
      </c>
      <c r="C8" s="19">
        <f>74</f>
        <v>74</v>
      </c>
      <c r="D8" s="20" t="s">
        <v>59</v>
      </c>
      <c r="E8" s="20" t="s">
        <v>59</v>
      </c>
      <c r="F8" s="20" t="s">
        <v>59</v>
      </c>
      <c r="G8" s="20" t="s">
        <v>59</v>
      </c>
      <c r="H8" s="20" t="s">
        <v>59</v>
      </c>
      <c r="I8" s="20">
        <f>65</f>
        <v>65</v>
      </c>
      <c r="J8" s="22">
        <f t="shared" si="0"/>
        <v>139</v>
      </c>
    </row>
    <row r="9" spans="2:10" x14ac:dyDescent="0.25">
      <c r="B9" s="4" t="s">
        <v>106</v>
      </c>
      <c r="C9" s="19">
        <f>1</f>
        <v>1</v>
      </c>
      <c r="D9" s="20" t="s">
        <v>59</v>
      </c>
      <c r="E9" s="20" t="s">
        <v>59</v>
      </c>
      <c r="F9" s="20" t="s">
        <v>59</v>
      </c>
      <c r="G9" s="20" t="s">
        <v>59</v>
      </c>
      <c r="H9" s="20" t="s">
        <v>59</v>
      </c>
      <c r="I9" s="20" t="s">
        <v>59</v>
      </c>
      <c r="J9" s="22">
        <f t="shared" si="0"/>
        <v>1</v>
      </c>
    </row>
    <row r="10" spans="2:10" x14ac:dyDescent="0.25">
      <c r="B10" s="5" t="s">
        <v>97</v>
      </c>
      <c r="C10" s="19">
        <f>1</f>
        <v>1</v>
      </c>
      <c r="D10" s="20" t="s">
        <v>59</v>
      </c>
      <c r="E10" s="20" t="s">
        <v>59</v>
      </c>
      <c r="F10" s="20" t="s">
        <v>59</v>
      </c>
      <c r="G10" s="20" t="s">
        <v>59</v>
      </c>
      <c r="H10" s="20" t="s">
        <v>59</v>
      </c>
      <c r="I10" s="20" t="s">
        <v>59</v>
      </c>
      <c r="J10" s="22">
        <f t="shared" si="0"/>
        <v>1</v>
      </c>
    </row>
    <row r="11" spans="2:10" x14ac:dyDescent="0.25">
      <c r="B11" s="4" t="s">
        <v>62</v>
      </c>
      <c r="C11" s="19">
        <f>3228+2</f>
        <v>3230</v>
      </c>
      <c r="D11" s="20">
        <f>143</f>
        <v>143</v>
      </c>
      <c r="E11" s="20">
        <f>31</f>
        <v>31</v>
      </c>
      <c r="F11" s="20" t="s">
        <v>59</v>
      </c>
      <c r="G11" s="20">
        <f>287</f>
        <v>287</v>
      </c>
      <c r="H11" s="20" t="s">
        <v>59</v>
      </c>
      <c r="I11" s="20">
        <f>19</f>
        <v>19</v>
      </c>
      <c r="J11" s="22">
        <f t="shared" si="0"/>
        <v>3710</v>
      </c>
    </row>
    <row r="12" spans="2:10" ht="14.25" customHeight="1" x14ac:dyDescent="0.25">
      <c r="B12" s="4" t="s">
        <v>1</v>
      </c>
      <c r="C12" s="19">
        <f>1</f>
        <v>1</v>
      </c>
      <c r="D12" s="20" t="s">
        <v>59</v>
      </c>
      <c r="E12" s="20" t="s">
        <v>59</v>
      </c>
      <c r="F12" s="20" t="s">
        <v>59</v>
      </c>
      <c r="G12" s="20" t="s">
        <v>59</v>
      </c>
      <c r="H12" s="20" t="s">
        <v>59</v>
      </c>
      <c r="I12" s="20" t="s">
        <v>59</v>
      </c>
      <c r="J12" s="22">
        <f t="shared" si="0"/>
        <v>1</v>
      </c>
    </row>
    <row r="13" spans="2:10" x14ac:dyDescent="0.25">
      <c r="B13" s="5" t="s">
        <v>122</v>
      </c>
      <c r="C13" s="19" t="s">
        <v>59</v>
      </c>
      <c r="D13" s="20" t="s">
        <v>59</v>
      </c>
      <c r="E13" s="20" t="s">
        <v>59</v>
      </c>
      <c r="F13" s="20" t="s">
        <v>59</v>
      </c>
      <c r="G13" s="20">
        <f>39</f>
        <v>39</v>
      </c>
      <c r="H13" s="20" t="s">
        <v>59</v>
      </c>
      <c r="I13" s="20" t="s">
        <v>59</v>
      </c>
      <c r="J13" s="22">
        <f t="shared" si="0"/>
        <v>39</v>
      </c>
    </row>
    <row r="14" spans="2:10" x14ac:dyDescent="0.25">
      <c r="B14" s="5" t="s">
        <v>110</v>
      </c>
      <c r="C14" s="19" t="s">
        <v>59</v>
      </c>
      <c r="D14" s="20" t="s">
        <v>59</v>
      </c>
      <c r="E14" s="20" t="s">
        <v>59</v>
      </c>
      <c r="F14" s="20" t="s">
        <v>59</v>
      </c>
      <c r="G14" s="20">
        <f>1</f>
        <v>1</v>
      </c>
      <c r="H14" s="20" t="s">
        <v>59</v>
      </c>
      <c r="I14" s="20" t="s">
        <v>59</v>
      </c>
      <c r="J14" s="22">
        <f t="shared" si="0"/>
        <v>1</v>
      </c>
    </row>
    <row r="15" spans="2:10" x14ac:dyDescent="0.25">
      <c r="B15" s="4" t="s">
        <v>75</v>
      </c>
      <c r="C15" s="19">
        <f>3</f>
        <v>3</v>
      </c>
      <c r="D15" s="20" t="s">
        <v>59</v>
      </c>
      <c r="E15" s="20" t="s">
        <v>59</v>
      </c>
      <c r="F15" s="20" t="s">
        <v>59</v>
      </c>
      <c r="G15" s="20" t="s">
        <v>59</v>
      </c>
      <c r="H15" s="20" t="s">
        <v>59</v>
      </c>
      <c r="I15" s="20" t="s">
        <v>59</v>
      </c>
      <c r="J15" s="22">
        <f t="shared" si="0"/>
        <v>3</v>
      </c>
    </row>
    <row r="16" spans="2:10" x14ac:dyDescent="0.25">
      <c r="B16" s="4" t="s">
        <v>35</v>
      </c>
      <c r="C16" s="19" t="s">
        <v>59</v>
      </c>
      <c r="D16" s="20" t="s">
        <v>59</v>
      </c>
      <c r="E16" s="20" t="s">
        <v>59</v>
      </c>
      <c r="F16" s="20" t="s">
        <v>59</v>
      </c>
      <c r="G16" s="20" t="s">
        <v>59</v>
      </c>
      <c r="H16" s="20">
        <f>1</f>
        <v>1</v>
      </c>
      <c r="I16" s="20" t="s">
        <v>59</v>
      </c>
      <c r="J16" s="22">
        <f t="shared" si="0"/>
        <v>1</v>
      </c>
    </row>
    <row r="17" spans="2:10" x14ac:dyDescent="0.25">
      <c r="B17" s="4" t="s">
        <v>36</v>
      </c>
      <c r="C17" s="19">
        <f>1</f>
        <v>1</v>
      </c>
      <c r="D17" s="20" t="s">
        <v>59</v>
      </c>
      <c r="E17" s="20" t="s">
        <v>59</v>
      </c>
      <c r="F17" s="20" t="s">
        <v>59</v>
      </c>
      <c r="G17" s="20">
        <f>1</f>
        <v>1</v>
      </c>
      <c r="H17" s="20">
        <f>11</f>
        <v>11</v>
      </c>
      <c r="I17" s="20" t="s">
        <v>59</v>
      </c>
      <c r="J17" s="22">
        <f t="shared" si="0"/>
        <v>13</v>
      </c>
    </row>
    <row r="18" spans="2:10" x14ac:dyDescent="0.25">
      <c r="B18" s="4" t="s">
        <v>14</v>
      </c>
      <c r="C18" s="19">
        <f>75</f>
        <v>75</v>
      </c>
      <c r="D18" s="20" t="s">
        <v>59</v>
      </c>
      <c r="E18" s="20" t="s">
        <v>59</v>
      </c>
      <c r="F18" s="20" t="s">
        <v>59</v>
      </c>
      <c r="G18" s="20" t="s">
        <v>59</v>
      </c>
      <c r="H18" s="20" t="s">
        <v>59</v>
      </c>
      <c r="I18" s="20">
        <f>6</f>
        <v>6</v>
      </c>
      <c r="J18" s="22">
        <f t="shared" si="0"/>
        <v>81</v>
      </c>
    </row>
    <row r="19" spans="2:10" x14ac:dyDescent="0.25">
      <c r="B19" s="4" t="s">
        <v>15</v>
      </c>
      <c r="C19" s="19">
        <f>2</f>
        <v>2</v>
      </c>
      <c r="D19" s="20" t="s">
        <v>59</v>
      </c>
      <c r="E19" s="20" t="s">
        <v>59</v>
      </c>
      <c r="F19" s="20" t="s">
        <v>59</v>
      </c>
      <c r="G19" s="20">
        <f>4</f>
        <v>4</v>
      </c>
      <c r="H19" s="20" t="s">
        <v>59</v>
      </c>
      <c r="I19" s="20" t="s">
        <v>59</v>
      </c>
      <c r="J19" s="22">
        <f t="shared" si="0"/>
        <v>6</v>
      </c>
    </row>
    <row r="20" spans="2:10" x14ac:dyDescent="0.25">
      <c r="B20" s="4" t="s">
        <v>43</v>
      </c>
      <c r="C20" s="19">
        <f>142</f>
        <v>142</v>
      </c>
      <c r="D20" s="20" t="s">
        <v>59</v>
      </c>
      <c r="E20" s="20" t="s">
        <v>59</v>
      </c>
      <c r="F20" s="20" t="s">
        <v>59</v>
      </c>
      <c r="G20" s="20" t="s">
        <v>59</v>
      </c>
      <c r="H20" s="20" t="s">
        <v>59</v>
      </c>
      <c r="I20" s="20">
        <f>5</f>
        <v>5</v>
      </c>
      <c r="J20" s="22">
        <f t="shared" si="0"/>
        <v>147</v>
      </c>
    </row>
    <row r="21" spans="2:10" x14ac:dyDescent="0.25">
      <c r="B21" s="4" t="s">
        <v>68</v>
      </c>
      <c r="C21" s="19">
        <f>3</f>
        <v>3</v>
      </c>
      <c r="D21" s="20" t="s">
        <v>59</v>
      </c>
      <c r="E21" s="20" t="s">
        <v>59</v>
      </c>
      <c r="F21" s="20" t="s">
        <v>59</v>
      </c>
      <c r="G21" s="20" t="s">
        <v>59</v>
      </c>
      <c r="H21" s="20" t="s">
        <v>59</v>
      </c>
      <c r="I21" s="20" t="s">
        <v>59</v>
      </c>
      <c r="J21" s="22">
        <f t="shared" si="0"/>
        <v>3</v>
      </c>
    </row>
    <row r="22" spans="2:10" x14ac:dyDescent="0.25">
      <c r="B22" s="4" t="s">
        <v>40</v>
      </c>
      <c r="C22" s="19">
        <f>1879</f>
        <v>1879</v>
      </c>
      <c r="D22" s="20">
        <f>1</f>
        <v>1</v>
      </c>
      <c r="E22" s="20">
        <f>9</f>
        <v>9</v>
      </c>
      <c r="F22" s="20" t="s">
        <v>59</v>
      </c>
      <c r="G22" s="20">
        <f>57</f>
        <v>57</v>
      </c>
      <c r="H22" s="20" t="s">
        <v>59</v>
      </c>
      <c r="I22" s="20">
        <f>13</f>
        <v>13</v>
      </c>
      <c r="J22" s="22">
        <f t="shared" si="0"/>
        <v>1959</v>
      </c>
    </row>
    <row r="23" spans="2:10" x14ac:dyDescent="0.25">
      <c r="B23" s="4" t="s">
        <v>109</v>
      </c>
      <c r="C23" s="19">
        <v>1</v>
      </c>
      <c r="D23" s="20" t="s">
        <v>59</v>
      </c>
      <c r="E23" s="20" t="s">
        <v>59</v>
      </c>
      <c r="F23" s="20" t="s">
        <v>59</v>
      </c>
      <c r="G23" s="20" t="s">
        <v>59</v>
      </c>
      <c r="H23" s="20" t="s">
        <v>59</v>
      </c>
      <c r="I23" s="20" t="s">
        <v>59</v>
      </c>
      <c r="J23" s="22">
        <f t="shared" si="0"/>
        <v>1</v>
      </c>
    </row>
    <row r="24" spans="2:10" x14ac:dyDescent="0.25">
      <c r="B24" s="4" t="s">
        <v>39</v>
      </c>
      <c r="C24" s="19">
        <f>413</f>
        <v>413</v>
      </c>
      <c r="D24" s="20" t="s">
        <v>59</v>
      </c>
      <c r="E24" s="20">
        <v>2</v>
      </c>
      <c r="F24" s="20" t="s">
        <v>59</v>
      </c>
      <c r="G24" s="20">
        <f>2</f>
        <v>2</v>
      </c>
      <c r="H24" s="20" t="s">
        <v>59</v>
      </c>
      <c r="I24" s="20">
        <f>155</f>
        <v>155</v>
      </c>
      <c r="J24" s="22">
        <f t="shared" si="0"/>
        <v>572</v>
      </c>
    </row>
    <row r="25" spans="2:10" x14ac:dyDescent="0.25">
      <c r="B25" s="4" t="s">
        <v>50</v>
      </c>
      <c r="C25" s="19">
        <f>2</f>
        <v>2</v>
      </c>
      <c r="D25" s="20" t="s">
        <v>59</v>
      </c>
      <c r="E25" s="20" t="s">
        <v>59</v>
      </c>
      <c r="F25" s="20" t="s">
        <v>59</v>
      </c>
      <c r="G25" s="20" t="s">
        <v>59</v>
      </c>
      <c r="H25" s="20" t="s">
        <v>59</v>
      </c>
      <c r="I25" s="20" t="s">
        <v>59</v>
      </c>
      <c r="J25" s="22">
        <f t="shared" si="0"/>
        <v>2</v>
      </c>
    </row>
    <row r="26" spans="2:10" x14ac:dyDescent="0.25">
      <c r="B26" s="4" t="s">
        <v>49</v>
      </c>
      <c r="C26" s="19">
        <v>1</v>
      </c>
      <c r="D26" s="20" t="s">
        <v>59</v>
      </c>
      <c r="E26" s="20" t="s">
        <v>59</v>
      </c>
      <c r="F26" s="20" t="s">
        <v>59</v>
      </c>
      <c r="G26" s="20" t="s">
        <v>59</v>
      </c>
      <c r="H26" s="20" t="s">
        <v>59</v>
      </c>
      <c r="I26" s="20" t="s">
        <v>59</v>
      </c>
      <c r="J26" s="22">
        <f t="shared" si="0"/>
        <v>1</v>
      </c>
    </row>
    <row r="27" spans="2:10" x14ac:dyDescent="0.25">
      <c r="B27" s="4" t="s">
        <v>53</v>
      </c>
      <c r="C27" s="19">
        <f>2</f>
        <v>2</v>
      </c>
      <c r="D27" s="20" t="s">
        <v>59</v>
      </c>
      <c r="E27" s="20" t="s">
        <v>59</v>
      </c>
      <c r="F27" s="20" t="s">
        <v>59</v>
      </c>
      <c r="G27" s="20" t="s">
        <v>59</v>
      </c>
      <c r="H27" s="20" t="s">
        <v>59</v>
      </c>
      <c r="I27" s="20" t="s">
        <v>59</v>
      </c>
      <c r="J27" s="22">
        <f t="shared" si="0"/>
        <v>2</v>
      </c>
    </row>
    <row r="28" spans="2:10" x14ac:dyDescent="0.25">
      <c r="B28" s="4" t="s">
        <v>92</v>
      </c>
      <c r="C28" s="19">
        <f>2</f>
        <v>2</v>
      </c>
      <c r="D28" s="20" t="s">
        <v>59</v>
      </c>
      <c r="E28" s="20" t="s">
        <v>59</v>
      </c>
      <c r="F28" s="20" t="s">
        <v>59</v>
      </c>
      <c r="G28" s="20" t="s">
        <v>59</v>
      </c>
      <c r="H28" s="20" t="s">
        <v>59</v>
      </c>
      <c r="I28" s="20" t="s">
        <v>59</v>
      </c>
      <c r="J28" s="22">
        <f t="shared" si="0"/>
        <v>2</v>
      </c>
    </row>
    <row r="29" spans="2:10" x14ac:dyDescent="0.25">
      <c r="B29" s="4" t="s">
        <v>48</v>
      </c>
      <c r="C29" s="19" t="s">
        <v>59</v>
      </c>
      <c r="D29" s="20" t="s">
        <v>59</v>
      </c>
      <c r="E29" s="20" t="s">
        <v>59</v>
      </c>
      <c r="F29" s="20" t="s">
        <v>59</v>
      </c>
      <c r="G29" s="20" t="s">
        <v>59</v>
      </c>
      <c r="H29" s="20" t="s">
        <v>59</v>
      </c>
      <c r="I29" s="20">
        <f>1</f>
        <v>1</v>
      </c>
      <c r="J29" s="22">
        <f t="shared" si="0"/>
        <v>1</v>
      </c>
    </row>
    <row r="30" spans="2:10" x14ac:dyDescent="0.25">
      <c r="B30" s="4" t="s">
        <v>51</v>
      </c>
      <c r="C30" s="19">
        <f>7</f>
        <v>7</v>
      </c>
      <c r="D30" s="20" t="s">
        <v>59</v>
      </c>
      <c r="E30" s="20" t="s">
        <v>59</v>
      </c>
      <c r="F30" s="20" t="s">
        <v>59</v>
      </c>
      <c r="G30" s="20" t="s">
        <v>59</v>
      </c>
      <c r="H30" s="20" t="s">
        <v>59</v>
      </c>
      <c r="I30" s="20" t="s">
        <v>59</v>
      </c>
      <c r="J30" s="22">
        <f t="shared" si="0"/>
        <v>7</v>
      </c>
    </row>
    <row r="31" spans="2:10" x14ac:dyDescent="0.25">
      <c r="B31" s="4" t="s">
        <v>93</v>
      </c>
      <c r="C31" s="19">
        <f>1</f>
        <v>1</v>
      </c>
      <c r="D31" s="20" t="s">
        <v>59</v>
      </c>
      <c r="E31" s="20" t="s">
        <v>59</v>
      </c>
      <c r="F31" s="20" t="s">
        <v>59</v>
      </c>
      <c r="G31" s="20" t="s">
        <v>59</v>
      </c>
      <c r="H31" s="20" t="s">
        <v>59</v>
      </c>
      <c r="I31" s="20" t="s">
        <v>59</v>
      </c>
      <c r="J31" s="22">
        <f t="shared" si="0"/>
        <v>1</v>
      </c>
    </row>
    <row r="32" spans="2:10" x14ac:dyDescent="0.25">
      <c r="B32" s="4" t="s">
        <v>25</v>
      </c>
      <c r="C32" s="19">
        <f>3</f>
        <v>3</v>
      </c>
      <c r="D32" s="20" t="s">
        <v>59</v>
      </c>
      <c r="E32" s="20" t="s">
        <v>59</v>
      </c>
      <c r="F32" s="20" t="s">
        <v>59</v>
      </c>
      <c r="G32" s="20" t="s">
        <v>59</v>
      </c>
      <c r="H32" s="20" t="s">
        <v>59</v>
      </c>
      <c r="I32" s="20" t="s">
        <v>59</v>
      </c>
      <c r="J32" s="22">
        <f t="shared" si="0"/>
        <v>3</v>
      </c>
    </row>
    <row r="33" spans="2:10" x14ac:dyDescent="0.25">
      <c r="B33" s="4" t="s">
        <v>2</v>
      </c>
      <c r="C33" s="19">
        <f>5</f>
        <v>5</v>
      </c>
      <c r="D33" s="20" t="s">
        <v>59</v>
      </c>
      <c r="E33" s="20" t="s">
        <v>59</v>
      </c>
      <c r="F33" s="20" t="s">
        <v>59</v>
      </c>
      <c r="G33" s="20">
        <f>1</f>
        <v>1</v>
      </c>
      <c r="H33" s="20" t="s">
        <v>59</v>
      </c>
      <c r="I33" s="20">
        <v>16</v>
      </c>
      <c r="J33" s="22">
        <f t="shared" si="0"/>
        <v>22</v>
      </c>
    </row>
    <row r="34" spans="2:10" x14ac:dyDescent="0.25">
      <c r="B34" s="4" t="s">
        <v>24</v>
      </c>
      <c r="C34" s="19">
        <f>1</f>
        <v>1</v>
      </c>
      <c r="D34" s="20" t="s">
        <v>59</v>
      </c>
      <c r="E34" s="20" t="s">
        <v>59</v>
      </c>
      <c r="F34" s="20" t="s">
        <v>59</v>
      </c>
      <c r="G34" s="20" t="s">
        <v>59</v>
      </c>
      <c r="H34" s="20" t="s">
        <v>59</v>
      </c>
      <c r="I34" s="20" t="s">
        <v>59</v>
      </c>
      <c r="J34" s="22">
        <f t="shared" si="0"/>
        <v>1</v>
      </c>
    </row>
    <row r="35" spans="2:10" x14ac:dyDescent="0.25">
      <c r="B35" s="4" t="s">
        <v>44</v>
      </c>
      <c r="C35" s="19">
        <f>1047</f>
        <v>1047</v>
      </c>
      <c r="D35" s="20">
        <v>2052</v>
      </c>
      <c r="E35" s="20">
        <v>2875</v>
      </c>
      <c r="F35" s="20" t="s">
        <v>59</v>
      </c>
      <c r="G35" s="20">
        <f>3270</f>
        <v>3270</v>
      </c>
      <c r="H35" s="20" t="s">
        <v>59</v>
      </c>
      <c r="I35" s="20">
        <f>95</f>
        <v>95</v>
      </c>
      <c r="J35" s="22">
        <f t="shared" si="0"/>
        <v>9339</v>
      </c>
    </row>
    <row r="36" spans="2:10" x14ac:dyDescent="0.25">
      <c r="B36" s="4" t="s">
        <v>31</v>
      </c>
      <c r="C36" s="19">
        <v>1</v>
      </c>
      <c r="D36" s="20" t="s">
        <v>59</v>
      </c>
      <c r="E36" s="20" t="s">
        <v>59</v>
      </c>
      <c r="F36" s="20" t="s">
        <v>59</v>
      </c>
      <c r="G36" s="20" t="s">
        <v>59</v>
      </c>
      <c r="H36" s="20" t="s">
        <v>59</v>
      </c>
      <c r="I36" s="20" t="s">
        <v>59</v>
      </c>
      <c r="J36" s="22">
        <f t="shared" si="0"/>
        <v>1</v>
      </c>
    </row>
    <row r="37" spans="2:10" x14ac:dyDescent="0.25">
      <c r="B37" s="4" t="s">
        <v>67</v>
      </c>
      <c r="C37" s="19">
        <f>232</f>
        <v>232</v>
      </c>
      <c r="D37" s="20">
        <f>6</f>
        <v>6</v>
      </c>
      <c r="E37" s="20">
        <v>12</v>
      </c>
      <c r="F37" s="20" t="s">
        <v>59</v>
      </c>
      <c r="G37" s="20">
        <f>39</f>
        <v>39</v>
      </c>
      <c r="H37" s="20">
        <f>859</f>
        <v>859</v>
      </c>
      <c r="I37" s="20">
        <f>16</f>
        <v>16</v>
      </c>
      <c r="J37" s="22">
        <f t="shared" si="0"/>
        <v>1164</v>
      </c>
    </row>
    <row r="38" spans="2:10" x14ac:dyDescent="0.25">
      <c r="B38" s="4" t="s">
        <v>11</v>
      </c>
      <c r="C38" s="19">
        <f>1860</f>
        <v>1860</v>
      </c>
      <c r="D38" s="20">
        <f>903</f>
        <v>903</v>
      </c>
      <c r="E38" s="20">
        <f>2</f>
        <v>2</v>
      </c>
      <c r="F38" s="20" t="s">
        <v>59</v>
      </c>
      <c r="G38" s="20">
        <f>99</f>
        <v>99</v>
      </c>
      <c r="H38" s="20" t="s">
        <v>59</v>
      </c>
      <c r="I38" s="20">
        <v>161</v>
      </c>
      <c r="J38" s="22">
        <f t="shared" si="0"/>
        <v>3025</v>
      </c>
    </row>
    <row r="39" spans="2:10" x14ac:dyDescent="0.25">
      <c r="B39" s="4" t="s">
        <v>13</v>
      </c>
      <c r="C39" s="19">
        <f>198</f>
        <v>198</v>
      </c>
      <c r="D39" s="20">
        <f>76</f>
        <v>76</v>
      </c>
      <c r="E39" s="20" t="s">
        <v>59</v>
      </c>
      <c r="F39" s="20" t="s">
        <v>59</v>
      </c>
      <c r="G39" s="20">
        <f>1</f>
        <v>1</v>
      </c>
      <c r="H39" s="20" t="s">
        <v>59</v>
      </c>
      <c r="I39" s="20">
        <f>23</f>
        <v>23</v>
      </c>
      <c r="J39" s="22">
        <f t="shared" si="0"/>
        <v>298</v>
      </c>
    </row>
    <row r="40" spans="2:10" x14ac:dyDescent="0.25">
      <c r="B40" s="4" t="s">
        <v>12</v>
      </c>
      <c r="C40" s="19">
        <f>10</f>
        <v>10</v>
      </c>
      <c r="D40" s="20" t="s">
        <v>59</v>
      </c>
      <c r="E40" s="20" t="s">
        <v>59</v>
      </c>
      <c r="F40" s="20" t="s">
        <v>59</v>
      </c>
      <c r="G40" s="20" t="s">
        <v>59</v>
      </c>
      <c r="H40" s="20" t="s">
        <v>59</v>
      </c>
      <c r="I40" s="20" t="s">
        <v>59</v>
      </c>
      <c r="J40" s="22">
        <f t="shared" si="0"/>
        <v>10</v>
      </c>
    </row>
    <row r="41" spans="2:10" x14ac:dyDescent="0.25">
      <c r="B41" s="5" t="s">
        <v>100</v>
      </c>
      <c r="C41" s="19">
        <f>4</f>
        <v>4</v>
      </c>
      <c r="D41" s="20" t="s">
        <v>59</v>
      </c>
      <c r="E41" s="20" t="s">
        <v>59</v>
      </c>
      <c r="F41" s="20" t="s">
        <v>59</v>
      </c>
      <c r="G41" s="20"/>
      <c r="H41" s="20" t="s">
        <v>59</v>
      </c>
      <c r="I41" s="20" t="s">
        <v>59</v>
      </c>
      <c r="J41" s="22">
        <f t="shared" si="0"/>
        <v>4</v>
      </c>
    </row>
    <row r="42" spans="2:10" x14ac:dyDescent="0.25">
      <c r="B42" s="4" t="s">
        <v>64</v>
      </c>
      <c r="C42" s="19">
        <f>2</f>
        <v>2</v>
      </c>
      <c r="D42" s="20" t="s">
        <v>59</v>
      </c>
      <c r="E42" s="20" t="s">
        <v>59</v>
      </c>
      <c r="F42" s="20" t="s">
        <v>59</v>
      </c>
      <c r="G42" s="20">
        <f>19</f>
        <v>19</v>
      </c>
      <c r="H42" s="20">
        <f>10</f>
        <v>10</v>
      </c>
      <c r="I42" s="20" t="s">
        <v>59</v>
      </c>
      <c r="J42" s="22">
        <f t="shared" si="0"/>
        <v>31</v>
      </c>
    </row>
    <row r="43" spans="2:10" x14ac:dyDescent="0.25">
      <c r="B43" s="4" t="s">
        <v>45</v>
      </c>
      <c r="C43" s="19">
        <f>62</f>
        <v>62</v>
      </c>
      <c r="D43" s="20">
        <f>8815</f>
        <v>8815</v>
      </c>
      <c r="E43" s="20">
        <f>9</f>
        <v>9</v>
      </c>
      <c r="F43" s="20" t="s">
        <v>59</v>
      </c>
      <c r="G43" s="20">
        <f>4168</f>
        <v>4168</v>
      </c>
      <c r="H43" s="20" t="s">
        <v>59</v>
      </c>
      <c r="I43" s="20">
        <f>1482</f>
        <v>1482</v>
      </c>
      <c r="J43" s="22">
        <f t="shared" si="0"/>
        <v>14536</v>
      </c>
    </row>
    <row r="44" spans="2:10" x14ac:dyDescent="0.25">
      <c r="B44" s="4" t="s">
        <v>20</v>
      </c>
      <c r="C44" s="19">
        <f>4</f>
        <v>4</v>
      </c>
      <c r="D44" s="20" t="s">
        <v>59</v>
      </c>
      <c r="E44" s="20" t="s">
        <v>59</v>
      </c>
      <c r="F44" s="20" t="s">
        <v>59</v>
      </c>
      <c r="G44" s="20" t="s">
        <v>59</v>
      </c>
      <c r="H44" s="20" t="s">
        <v>59</v>
      </c>
      <c r="I44" s="20" t="s">
        <v>59</v>
      </c>
      <c r="J44" s="22">
        <f t="shared" si="0"/>
        <v>4</v>
      </c>
    </row>
    <row r="45" spans="2:10" x14ac:dyDescent="0.25">
      <c r="B45" s="4" t="s">
        <v>17</v>
      </c>
      <c r="C45" s="19">
        <f>33</f>
        <v>33</v>
      </c>
      <c r="D45" s="20" t="s">
        <v>59</v>
      </c>
      <c r="E45" s="20" t="s">
        <v>59</v>
      </c>
      <c r="F45" s="20" t="s">
        <v>59</v>
      </c>
      <c r="G45" s="20" t="s">
        <v>59</v>
      </c>
      <c r="H45" s="20" t="s">
        <v>59</v>
      </c>
      <c r="I45" s="20" t="s">
        <v>59</v>
      </c>
      <c r="J45" s="22">
        <f t="shared" si="0"/>
        <v>33</v>
      </c>
    </row>
    <row r="46" spans="2:10" x14ac:dyDescent="0.25">
      <c r="B46" s="5" t="s">
        <v>101</v>
      </c>
      <c r="C46" s="19">
        <f>1</f>
        <v>1</v>
      </c>
      <c r="D46" s="20" t="s">
        <v>59</v>
      </c>
      <c r="E46" s="20" t="s">
        <v>59</v>
      </c>
      <c r="F46" s="20" t="s">
        <v>59</v>
      </c>
      <c r="G46" s="20" t="s">
        <v>59</v>
      </c>
      <c r="H46" s="20" t="s">
        <v>59</v>
      </c>
      <c r="I46" s="20" t="s">
        <v>59</v>
      </c>
      <c r="J46" s="22">
        <f t="shared" si="0"/>
        <v>1</v>
      </c>
    </row>
    <row r="47" spans="2:10" x14ac:dyDescent="0.25">
      <c r="B47" s="4" t="s">
        <v>32</v>
      </c>
      <c r="C47" s="19">
        <f>2</f>
        <v>2</v>
      </c>
      <c r="D47" s="20" t="s">
        <v>59</v>
      </c>
      <c r="E47" s="20">
        <v>0</v>
      </c>
      <c r="F47" s="20" t="s">
        <v>59</v>
      </c>
      <c r="G47" s="20">
        <v>0</v>
      </c>
      <c r="H47" s="20" t="s">
        <v>59</v>
      </c>
      <c r="I47" s="20">
        <v>0</v>
      </c>
      <c r="J47" s="22">
        <f t="shared" si="0"/>
        <v>2</v>
      </c>
    </row>
    <row r="48" spans="2:10" x14ac:dyDescent="0.25">
      <c r="B48" s="4" t="s">
        <v>123</v>
      </c>
      <c r="C48" s="19"/>
      <c r="D48" s="20"/>
      <c r="E48" s="20"/>
      <c r="F48" s="20"/>
      <c r="G48" s="20">
        <f>1</f>
        <v>1</v>
      </c>
      <c r="H48" s="20"/>
      <c r="I48" s="20"/>
      <c r="J48" s="22">
        <f t="shared" si="0"/>
        <v>1</v>
      </c>
    </row>
    <row r="49" spans="2:10" x14ac:dyDescent="0.25">
      <c r="B49" s="4" t="s">
        <v>41</v>
      </c>
      <c r="C49" s="19">
        <f>6</f>
        <v>6</v>
      </c>
      <c r="D49" s="20">
        <f>16</f>
        <v>16</v>
      </c>
      <c r="E49" s="20">
        <f>116</f>
        <v>116</v>
      </c>
      <c r="F49" s="20" t="s">
        <v>59</v>
      </c>
      <c r="G49" s="20">
        <f>815</f>
        <v>815</v>
      </c>
      <c r="H49" s="20">
        <f>1316</f>
        <v>1316</v>
      </c>
      <c r="I49" s="20">
        <f>21</f>
        <v>21</v>
      </c>
      <c r="J49" s="22">
        <f t="shared" si="0"/>
        <v>2290</v>
      </c>
    </row>
    <row r="50" spans="2:10" x14ac:dyDescent="0.25">
      <c r="B50" s="4" t="s">
        <v>65</v>
      </c>
      <c r="C50" s="19">
        <f>240</f>
        <v>240</v>
      </c>
      <c r="D50" s="20">
        <v>29</v>
      </c>
      <c r="E50" s="20">
        <f>7</f>
        <v>7</v>
      </c>
      <c r="F50" s="20" t="s">
        <v>59</v>
      </c>
      <c r="G50" s="20">
        <v>24</v>
      </c>
      <c r="H50" s="20">
        <v>6</v>
      </c>
      <c r="I50" s="20">
        <v>71</v>
      </c>
      <c r="J50" s="22">
        <f t="shared" si="0"/>
        <v>377</v>
      </c>
    </row>
    <row r="51" spans="2:10" x14ac:dyDescent="0.25">
      <c r="B51" s="4" t="s">
        <v>42</v>
      </c>
      <c r="C51" s="19">
        <f>1</f>
        <v>1</v>
      </c>
      <c r="D51" s="20">
        <f>1</f>
        <v>1</v>
      </c>
      <c r="E51" s="20">
        <f>52</f>
        <v>52</v>
      </c>
      <c r="F51" s="20" t="s">
        <v>59</v>
      </c>
      <c r="G51" s="20">
        <v>343</v>
      </c>
      <c r="H51" s="20">
        <f>312</f>
        <v>312</v>
      </c>
      <c r="I51" s="20">
        <f>22</f>
        <v>22</v>
      </c>
      <c r="J51" s="22">
        <f t="shared" si="0"/>
        <v>731</v>
      </c>
    </row>
    <row r="52" spans="2:10" x14ac:dyDescent="0.25">
      <c r="B52" s="8" t="s">
        <v>74</v>
      </c>
      <c r="C52" s="19">
        <f>4</f>
        <v>4</v>
      </c>
      <c r="D52" s="20" t="s">
        <v>59</v>
      </c>
      <c r="E52" s="20" t="s">
        <v>59</v>
      </c>
      <c r="F52" s="20" t="s">
        <v>59</v>
      </c>
      <c r="G52" s="20" t="s">
        <v>59</v>
      </c>
      <c r="H52" s="20" t="s">
        <v>59</v>
      </c>
      <c r="I52" s="20">
        <f>5</f>
        <v>5</v>
      </c>
      <c r="J52" s="22">
        <f t="shared" si="0"/>
        <v>9</v>
      </c>
    </row>
    <row r="53" spans="2:10" x14ac:dyDescent="0.25">
      <c r="B53" s="8" t="s">
        <v>7</v>
      </c>
      <c r="C53" s="19">
        <f>8</f>
        <v>8</v>
      </c>
      <c r="D53" s="20" t="s">
        <v>59</v>
      </c>
      <c r="E53" s="20" t="s">
        <v>59</v>
      </c>
      <c r="F53" s="20" t="s">
        <v>59</v>
      </c>
      <c r="G53" s="20" t="s">
        <v>59</v>
      </c>
      <c r="H53" s="20" t="s">
        <v>59</v>
      </c>
      <c r="I53" s="20" t="s">
        <v>59</v>
      </c>
      <c r="J53" s="22">
        <f t="shared" ref="J53:J90" si="1">SUM(C53:I53)</f>
        <v>8</v>
      </c>
    </row>
    <row r="54" spans="2:10" x14ac:dyDescent="0.25">
      <c r="B54" s="8" t="s">
        <v>5</v>
      </c>
      <c r="C54" s="19">
        <f>683</f>
        <v>683</v>
      </c>
      <c r="D54" s="20" t="s">
        <v>59</v>
      </c>
      <c r="E54" s="20">
        <f>23</f>
        <v>23</v>
      </c>
      <c r="F54" s="20" t="s">
        <v>59</v>
      </c>
      <c r="G54" s="20" t="s">
        <v>59</v>
      </c>
      <c r="H54" s="20" t="s">
        <v>59</v>
      </c>
      <c r="I54" s="20" t="s">
        <v>59</v>
      </c>
      <c r="J54" s="22">
        <f t="shared" si="1"/>
        <v>706</v>
      </c>
    </row>
    <row r="55" spans="2:10" x14ac:dyDescent="0.25">
      <c r="B55" s="8" t="s">
        <v>112</v>
      </c>
      <c r="C55" s="19">
        <f>1</f>
        <v>1</v>
      </c>
      <c r="D55" s="20" t="s">
        <v>59</v>
      </c>
      <c r="E55" s="20" t="s">
        <v>59</v>
      </c>
      <c r="F55" s="20" t="s">
        <v>59</v>
      </c>
      <c r="G55" s="20" t="s">
        <v>59</v>
      </c>
      <c r="H55" s="20" t="s">
        <v>59</v>
      </c>
      <c r="I55" s="20" t="s">
        <v>59</v>
      </c>
      <c r="J55" s="22">
        <f t="shared" si="1"/>
        <v>1</v>
      </c>
    </row>
    <row r="56" spans="2:10" x14ac:dyDescent="0.25">
      <c r="B56" s="8" t="s">
        <v>6</v>
      </c>
      <c r="C56" s="19">
        <f>19</f>
        <v>19</v>
      </c>
      <c r="D56" s="20" t="s">
        <v>59</v>
      </c>
      <c r="E56" s="20" t="s">
        <v>59</v>
      </c>
      <c r="F56" s="20" t="s">
        <v>59</v>
      </c>
      <c r="G56" s="20" t="s">
        <v>59</v>
      </c>
      <c r="H56" s="20" t="s">
        <v>59</v>
      </c>
      <c r="I56" s="20" t="s">
        <v>59</v>
      </c>
      <c r="J56" s="22">
        <f t="shared" si="1"/>
        <v>19</v>
      </c>
    </row>
    <row r="57" spans="2:10" x14ac:dyDescent="0.25">
      <c r="B57" s="8" t="s">
        <v>73</v>
      </c>
      <c r="C57" s="19">
        <f>2</f>
        <v>2</v>
      </c>
      <c r="D57" s="20" t="s">
        <v>59</v>
      </c>
      <c r="E57" s="20" t="s">
        <v>59</v>
      </c>
      <c r="F57" s="20" t="s">
        <v>59</v>
      </c>
      <c r="G57" s="20" t="s">
        <v>59</v>
      </c>
      <c r="H57" s="20" t="s">
        <v>59</v>
      </c>
      <c r="I57" s="20" t="s">
        <v>59</v>
      </c>
      <c r="J57" s="22">
        <f t="shared" si="1"/>
        <v>2</v>
      </c>
    </row>
    <row r="58" spans="2:10" x14ac:dyDescent="0.25">
      <c r="B58" s="8" t="s">
        <v>3</v>
      </c>
      <c r="C58" s="19">
        <f>502</f>
        <v>502</v>
      </c>
      <c r="D58" s="20" t="s">
        <v>59</v>
      </c>
      <c r="E58" s="20" t="s">
        <v>59</v>
      </c>
      <c r="F58" s="20" t="s">
        <v>59</v>
      </c>
      <c r="G58" s="20">
        <f>49</f>
        <v>49</v>
      </c>
      <c r="H58" s="20" t="s">
        <v>59</v>
      </c>
      <c r="I58" s="20" t="s">
        <v>59</v>
      </c>
      <c r="J58" s="22">
        <f t="shared" si="1"/>
        <v>551</v>
      </c>
    </row>
    <row r="59" spans="2:10" x14ac:dyDescent="0.25">
      <c r="B59" s="8" t="s">
        <v>4</v>
      </c>
      <c r="C59" s="19">
        <f>398</f>
        <v>398</v>
      </c>
      <c r="D59" s="20" t="s">
        <v>59</v>
      </c>
      <c r="E59" s="20" t="s">
        <v>59</v>
      </c>
      <c r="F59" s="20" t="s">
        <v>59</v>
      </c>
      <c r="G59" s="20">
        <f>12</f>
        <v>12</v>
      </c>
      <c r="H59" s="20" t="s">
        <v>59</v>
      </c>
      <c r="I59" s="20" t="s">
        <v>59</v>
      </c>
      <c r="J59" s="22">
        <f t="shared" si="1"/>
        <v>410</v>
      </c>
    </row>
    <row r="60" spans="2:10" x14ac:dyDescent="0.25">
      <c r="B60" s="8" t="s">
        <v>126</v>
      </c>
      <c r="C60" s="19" t="s">
        <v>59</v>
      </c>
      <c r="D60" s="20" t="s">
        <v>59</v>
      </c>
      <c r="E60" s="20" t="s">
        <v>59</v>
      </c>
      <c r="F60" s="20" t="s">
        <v>59</v>
      </c>
      <c r="G60" s="20">
        <f>2</f>
        <v>2</v>
      </c>
      <c r="H60" s="20" t="s">
        <v>59</v>
      </c>
      <c r="I60" s="20" t="s">
        <v>59</v>
      </c>
      <c r="J60" s="22">
        <f t="shared" si="1"/>
        <v>2</v>
      </c>
    </row>
    <row r="61" spans="2:10" x14ac:dyDescent="0.25">
      <c r="B61" s="4" t="s">
        <v>34</v>
      </c>
      <c r="C61" s="19" t="s">
        <v>59</v>
      </c>
      <c r="D61" s="20" t="s">
        <v>59</v>
      </c>
      <c r="E61" s="20" t="s">
        <v>59</v>
      </c>
      <c r="F61" s="20" t="s">
        <v>59</v>
      </c>
      <c r="G61" s="20" t="s">
        <v>59</v>
      </c>
      <c r="H61" s="20" t="s">
        <v>59</v>
      </c>
      <c r="I61" s="20">
        <f>1</f>
        <v>1</v>
      </c>
      <c r="J61" s="22">
        <f t="shared" si="1"/>
        <v>1</v>
      </c>
    </row>
    <row r="62" spans="2:10" x14ac:dyDescent="0.25">
      <c r="B62" s="4" t="s">
        <v>23</v>
      </c>
      <c r="C62" s="19">
        <f>1</f>
        <v>1</v>
      </c>
      <c r="D62" s="20" t="s">
        <v>59</v>
      </c>
      <c r="E62" s="20" t="s">
        <v>59</v>
      </c>
      <c r="F62" s="20" t="s">
        <v>59</v>
      </c>
      <c r="G62" s="20" t="s">
        <v>59</v>
      </c>
      <c r="H62" s="20" t="s">
        <v>59</v>
      </c>
      <c r="I62" s="20" t="s">
        <v>59</v>
      </c>
      <c r="J62" s="22">
        <f t="shared" si="1"/>
        <v>1</v>
      </c>
    </row>
    <row r="63" spans="2:10" x14ac:dyDescent="0.25">
      <c r="B63" s="4" t="s">
        <v>111</v>
      </c>
      <c r="C63" s="19">
        <v>0</v>
      </c>
      <c r="D63" s="20" t="s">
        <v>59</v>
      </c>
      <c r="E63" s="20" t="s">
        <v>59</v>
      </c>
      <c r="F63" s="20" t="s">
        <v>59</v>
      </c>
      <c r="G63" s="20" t="s">
        <v>59</v>
      </c>
      <c r="H63" s="20">
        <f>34</f>
        <v>34</v>
      </c>
      <c r="I63" s="20" t="s">
        <v>59</v>
      </c>
      <c r="J63" s="22">
        <f t="shared" si="1"/>
        <v>34</v>
      </c>
    </row>
    <row r="64" spans="2:10" x14ac:dyDescent="0.25">
      <c r="B64" s="5" t="s">
        <v>98</v>
      </c>
      <c r="C64" s="19">
        <f>6022</f>
        <v>6022</v>
      </c>
      <c r="D64" s="20" t="s">
        <v>59</v>
      </c>
      <c r="E64" s="20">
        <v>55</v>
      </c>
      <c r="F64" s="20" t="s">
        <v>59</v>
      </c>
      <c r="G64" s="20">
        <f>277</f>
        <v>277</v>
      </c>
      <c r="H64" s="20" t="s">
        <v>59</v>
      </c>
      <c r="I64" s="20">
        <f>104</f>
        <v>104</v>
      </c>
      <c r="J64" s="22">
        <f t="shared" si="1"/>
        <v>6458</v>
      </c>
    </row>
    <row r="65" spans="2:10" x14ac:dyDescent="0.25">
      <c r="B65" s="4" t="s">
        <v>26</v>
      </c>
      <c r="C65" s="19">
        <f>105</f>
        <v>105</v>
      </c>
      <c r="D65" s="20" t="s">
        <v>59</v>
      </c>
      <c r="E65" s="20" t="s">
        <v>59</v>
      </c>
      <c r="F65" s="20" t="s">
        <v>59</v>
      </c>
      <c r="G65" s="20">
        <v>2</v>
      </c>
      <c r="H65" s="20" t="s">
        <v>59</v>
      </c>
      <c r="I65" s="20" t="s">
        <v>59</v>
      </c>
      <c r="J65" s="22">
        <f t="shared" si="1"/>
        <v>107</v>
      </c>
    </row>
    <row r="66" spans="2:10" x14ac:dyDescent="0.25">
      <c r="B66" s="4" t="s">
        <v>47</v>
      </c>
      <c r="C66" s="19">
        <f>236</f>
        <v>236</v>
      </c>
      <c r="D66" s="20" t="s">
        <v>59</v>
      </c>
      <c r="E66" s="20" t="s">
        <v>59</v>
      </c>
      <c r="F66" s="20" t="s">
        <v>59</v>
      </c>
      <c r="G66" s="20" t="s">
        <v>59</v>
      </c>
      <c r="H66" s="20" t="s">
        <v>59</v>
      </c>
      <c r="I66" s="20" t="s">
        <v>59</v>
      </c>
      <c r="J66" s="22">
        <f t="shared" si="1"/>
        <v>236</v>
      </c>
    </row>
    <row r="67" spans="2:10" x14ac:dyDescent="0.25">
      <c r="B67" s="4" t="s">
        <v>33</v>
      </c>
      <c r="C67" s="19">
        <f>1</f>
        <v>1</v>
      </c>
      <c r="D67" s="20" t="s">
        <v>59</v>
      </c>
      <c r="E67" s="20" t="s">
        <v>59</v>
      </c>
      <c r="F67" s="20" t="s">
        <v>59</v>
      </c>
      <c r="G67" s="20" t="s">
        <v>59</v>
      </c>
      <c r="H67" s="20" t="s">
        <v>59</v>
      </c>
      <c r="I67" s="20" t="s">
        <v>59</v>
      </c>
      <c r="J67" s="22">
        <f t="shared" si="1"/>
        <v>1</v>
      </c>
    </row>
    <row r="68" spans="2:10" x14ac:dyDescent="0.25">
      <c r="B68" s="4" t="s">
        <v>66</v>
      </c>
      <c r="C68" s="19">
        <f>6</f>
        <v>6</v>
      </c>
      <c r="D68" s="20" t="s">
        <v>59</v>
      </c>
      <c r="E68" s="20" t="s">
        <v>59</v>
      </c>
      <c r="F68" s="20" t="s">
        <v>59</v>
      </c>
      <c r="G68" s="20" t="s">
        <v>59</v>
      </c>
      <c r="H68" s="20" t="s">
        <v>59</v>
      </c>
      <c r="I68" s="20">
        <f>1</f>
        <v>1</v>
      </c>
      <c r="J68" s="22">
        <f t="shared" si="1"/>
        <v>7</v>
      </c>
    </row>
    <row r="69" spans="2:10" x14ac:dyDescent="0.25">
      <c r="B69" s="4" t="s">
        <v>29</v>
      </c>
      <c r="C69" s="19">
        <f>1</f>
        <v>1</v>
      </c>
      <c r="D69" s="20" t="s">
        <v>59</v>
      </c>
      <c r="E69" s="20" t="s">
        <v>59</v>
      </c>
      <c r="F69" s="20" t="s">
        <v>59</v>
      </c>
      <c r="G69" s="20" t="s">
        <v>59</v>
      </c>
      <c r="H69" s="20" t="s">
        <v>59</v>
      </c>
      <c r="I69" s="20" t="s">
        <v>59</v>
      </c>
      <c r="J69" s="22">
        <f t="shared" si="1"/>
        <v>1</v>
      </c>
    </row>
    <row r="70" spans="2:10" x14ac:dyDescent="0.25">
      <c r="B70" s="4" t="s">
        <v>9</v>
      </c>
      <c r="C70" s="19" t="s">
        <v>59</v>
      </c>
      <c r="D70" s="20" t="s">
        <v>59</v>
      </c>
      <c r="E70" s="20" t="s">
        <v>59</v>
      </c>
      <c r="F70" s="20" t="s">
        <v>59</v>
      </c>
      <c r="G70" s="20">
        <f>1</f>
        <v>1</v>
      </c>
      <c r="H70" s="20" t="s">
        <v>59</v>
      </c>
      <c r="I70" s="20" t="s">
        <v>59</v>
      </c>
      <c r="J70" s="22">
        <f t="shared" si="1"/>
        <v>1</v>
      </c>
    </row>
    <row r="71" spans="2:10" x14ac:dyDescent="0.25">
      <c r="B71" s="4" t="s">
        <v>107</v>
      </c>
      <c r="C71" s="19">
        <f>5</f>
        <v>5</v>
      </c>
      <c r="D71" s="20" t="s">
        <v>59</v>
      </c>
      <c r="E71" s="20" t="s">
        <v>59</v>
      </c>
      <c r="F71" s="20" t="s">
        <v>59</v>
      </c>
      <c r="G71" s="20">
        <f>1</f>
        <v>1</v>
      </c>
      <c r="H71" s="20" t="s">
        <v>59</v>
      </c>
      <c r="I71" s="20" t="s">
        <v>59</v>
      </c>
      <c r="J71" s="22">
        <f t="shared" si="1"/>
        <v>6</v>
      </c>
    </row>
    <row r="72" spans="2:10" x14ac:dyDescent="0.25">
      <c r="B72" s="5" t="s">
        <v>95</v>
      </c>
      <c r="C72" s="19">
        <f>26</f>
        <v>26</v>
      </c>
      <c r="D72" s="20">
        <f>37</f>
        <v>37</v>
      </c>
      <c r="E72" s="20" t="s">
        <v>59</v>
      </c>
      <c r="F72" s="20" t="s">
        <v>59</v>
      </c>
      <c r="G72" s="20">
        <f>114</f>
        <v>114</v>
      </c>
      <c r="H72" s="20">
        <f>693</f>
        <v>693</v>
      </c>
      <c r="I72" s="20">
        <f>404</f>
        <v>404</v>
      </c>
      <c r="J72" s="22">
        <f t="shared" si="1"/>
        <v>1274</v>
      </c>
    </row>
    <row r="73" spans="2:10" x14ac:dyDescent="0.25">
      <c r="B73" s="4" t="s">
        <v>21</v>
      </c>
      <c r="C73" s="19">
        <f>2924</f>
        <v>2924</v>
      </c>
      <c r="D73" s="20" t="s">
        <v>59</v>
      </c>
      <c r="E73" s="20">
        <f>28</f>
        <v>28</v>
      </c>
      <c r="F73" s="20" t="s">
        <v>59</v>
      </c>
      <c r="G73" s="20">
        <f>191</f>
        <v>191</v>
      </c>
      <c r="H73" s="20" t="s">
        <v>59</v>
      </c>
      <c r="I73" s="20">
        <v>8</v>
      </c>
      <c r="J73" s="22">
        <f t="shared" si="1"/>
        <v>3151</v>
      </c>
    </row>
    <row r="74" spans="2:10" x14ac:dyDescent="0.25">
      <c r="B74" s="4" t="s">
        <v>22</v>
      </c>
      <c r="C74" s="19">
        <f>21</f>
        <v>21</v>
      </c>
      <c r="D74" s="20" t="s">
        <v>59</v>
      </c>
      <c r="E74" s="20" t="s">
        <v>59</v>
      </c>
      <c r="F74" s="20" t="s">
        <v>59</v>
      </c>
      <c r="G74" s="20">
        <f>1</f>
        <v>1</v>
      </c>
      <c r="H74" s="20" t="s">
        <v>59</v>
      </c>
      <c r="I74" s="20" t="s">
        <v>59</v>
      </c>
      <c r="J74" s="22">
        <f t="shared" si="1"/>
        <v>22</v>
      </c>
    </row>
    <row r="75" spans="2:10" x14ac:dyDescent="0.25">
      <c r="B75" s="4" t="s">
        <v>10</v>
      </c>
      <c r="C75" s="19">
        <f>1104</f>
        <v>1104</v>
      </c>
      <c r="D75" s="20">
        <f>236</f>
        <v>236</v>
      </c>
      <c r="E75" s="20">
        <v>122</v>
      </c>
      <c r="F75" s="20">
        <f>28</f>
        <v>28</v>
      </c>
      <c r="G75" s="20">
        <f>106</f>
        <v>106</v>
      </c>
      <c r="H75" s="20">
        <f>569</f>
        <v>569</v>
      </c>
      <c r="I75" s="20">
        <v>37</v>
      </c>
      <c r="J75" s="22">
        <f t="shared" si="1"/>
        <v>2202</v>
      </c>
    </row>
    <row r="76" spans="2:10" x14ac:dyDescent="0.25">
      <c r="B76" s="5" t="s">
        <v>96</v>
      </c>
      <c r="C76" s="19">
        <f>2</f>
        <v>2</v>
      </c>
      <c r="D76" s="20" t="s">
        <v>59</v>
      </c>
      <c r="E76" s="20" t="s">
        <v>59</v>
      </c>
      <c r="F76" s="20" t="s">
        <v>59</v>
      </c>
      <c r="G76" s="20">
        <v>2</v>
      </c>
      <c r="H76" s="20" t="s">
        <v>59</v>
      </c>
      <c r="I76" s="20" t="s">
        <v>59</v>
      </c>
      <c r="J76" s="22">
        <f t="shared" si="1"/>
        <v>4</v>
      </c>
    </row>
    <row r="77" spans="2:10" x14ac:dyDescent="0.25">
      <c r="B77" s="5" t="s">
        <v>108</v>
      </c>
      <c r="C77" s="19">
        <f>7</f>
        <v>7</v>
      </c>
      <c r="D77" s="20" t="s">
        <v>59</v>
      </c>
      <c r="E77" s="20">
        <v>1</v>
      </c>
      <c r="F77" s="20" t="s">
        <v>59</v>
      </c>
      <c r="G77" s="20">
        <f>1</f>
        <v>1</v>
      </c>
      <c r="H77" s="20" t="s">
        <v>59</v>
      </c>
      <c r="I77" s="20" t="s">
        <v>59</v>
      </c>
      <c r="J77" s="22">
        <f t="shared" si="1"/>
        <v>9</v>
      </c>
    </row>
    <row r="78" spans="2:10" x14ac:dyDescent="0.25">
      <c r="B78" s="4" t="s">
        <v>37</v>
      </c>
      <c r="C78" s="19">
        <f>3</f>
        <v>3</v>
      </c>
      <c r="D78" s="20" t="s">
        <v>59</v>
      </c>
      <c r="E78" s="20" t="s">
        <v>59</v>
      </c>
      <c r="F78" s="20" t="s">
        <v>59</v>
      </c>
      <c r="G78" s="20" t="s">
        <v>59</v>
      </c>
      <c r="H78" s="20" t="s">
        <v>59</v>
      </c>
      <c r="I78" s="20">
        <v>1</v>
      </c>
      <c r="J78" s="22">
        <f t="shared" si="1"/>
        <v>4</v>
      </c>
    </row>
    <row r="79" spans="2:10" x14ac:dyDescent="0.25">
      <c r="B79" s="4" t="s">
        <v>28</v>
      </c>
      <c r="C79" s="19">
        <f>1</f>
        <v>1</v>
      </c>
      <c r="D79" s="20" t="s">
        <v>59</v>
      </c>
      <c r="E79" s="20" t="s">
        <v>59</v>
      </c>
      <c r="F79" s="20" t="s">
        <v>59</v>
      </c>
      <c r="G79" s="20" t="s">
        <v>59</v>
      </c>
      <c r="H79" s="20" t="s">
        <v>59</v>
      </c>
      <c r="I79" s="20" t="s">
        <v>59</v>
      </c>
      <c r="J79" s="22">
        <f t="shared" si="1"/>
        <v>1</v>
      </c>
    </row>
    <row r="80" spans="2:10" x14ac:dyDescent="0.25">
      <c r="B80" s="4" t="s">
        <v>125</v>
      </c>
      <c r="C80" s="19" t="s">
        <v>59</v>
      </c>
      <c r="D80" s="20" t="s">
        <v>59</v>
      </c>
      <c r="E80" s="20" t="s">
        <v>59</v>
      </c>
      <c r="F80" s="20" t="s">
        <v>59</v>
      </c>
      <c r="G80" s="20">
        <f>1</f>
        <v>1</v>
      </c>
      <c r="H80" s="20" t="s">
        <v>59</v>
      </c>
      <c r="I80" s="20" t="s">
        <v>59</v>
      </c>
      <c r="J80" s="22">
        <f t="shared" si="1"/>
        <v>1</v>
      </c>
    </row>
    <row r="81" spans="2:10" x14ac:dyDescent="0.25">
      <c r="B81" s="4" t="s">
        <v>124</v>
      </c>
      <c r="C81" s="19" t="s">
        <v>59</v>
      </c>
      <c r="D81" s="20" t="s">
        <v>59</v>
      </c>
      <c r="E81" s="20" t="s">
        <v>59</v>
      </c>
      <c r="F81" s="20" t="s">
        <v>59</v>
      </c>
      <c r="G81" s="20">
        <v>7</v>
      </c>
      <c r="H81" s="20" t="s">
        <v>59</v>
      </c>
      <c r="I81" s="20" t="s">
        <v>59</v>
      </c>
      <c r="J81" s="22">
        <f t="shared" si="1"/>
        <v>7</v>
      </c>
    </row>
    <row r="82" spans="2:10" x14ac:dyDescent="0.25">
      <c r="B82" s="4" t="s">
        <v>38</v>
      </c>
      <c r="C82" s="19">
        <f>2</f>
        <v>2</v>
      </c>
      <c r="D82" s="20" t="s">
        <v>59</v>
      </c>
      <c r="E82" s="20" t="s">
        <v>59</v>
      </c>
      <c r="F82" s="20" t="s">
        <v>59</v>
      </c>
      <c r="G82" s="20" t="s">
        <v>59</v>
      </c>
      <c r="H82" s="20" t="s">
        <v>59</v>
      </c>
      <c r="I82" s="20" t="s">
        <v>59</v>
      </c>
      <c r="J82" s="22">
        <f t="shared" si="1"/>
        <v>2</v>
      </c>
    </row>
    <row r="83" spans="2:10" x14ac:dyDescent="0.25">
      <c r="B83" s="4" t="s">
        <v>27</v>
      </c>
      <c r="C83" s="19">
        <f>33</f>
        <v>33</v>
      </c>
      <c r="D83" s="20" t="s">
        <v>59</v>
      </c>
      <c r="E83" s="20" t="s">
        <v>59</v>
      </c>
      <c r="F83" s="20" t="s">
        <v>59</v>
      </c>
      <c r="G83" s="20" t="s">
        <v>59</v>
      </c>
      <c r="H83" s="20" t="s">
        <v>59</v>
      </c>
      <c r="I83" s="20">
        <v>232</v>
      </c>
      <c r="J83" s="22">
        <f t="shared" si="1"/>
        <v>265</v>
      </c>
    </row>
    <row r="84" spans="2:10" x14ac:dyDescent="0.25">
      <c r="B84" s="4" t="s">
        <v>19</v>
      </c>
      <c r="C84" s="19">
        <f>33</f>
        <v>33</v>
      </c>
      <c r="D84" s="20" t="s">
        <v>59</v>
      </c>
      <c r="E84" s="20" t="s">
        <v>59</v>
      </c>
      <c r="F84" s="20" t="s">
        <v>59</v>
      </c>
      <c r="G84" s="20" t="s">
        <v>59</v>
      </c>
      <c r="H84" s="20" t="s">
        <v>59</v>
      </c>
      <c r="I84" s="20" t="s">
        <v>59</v>
      </c>
      <c r="J84" s="22">
        <f t="shared" si="1"/>
        <v>33</v>
      </c>
    </row>
    <row r="85" spans="2:10" x14ac:dyDescent="0.25">
      <c r="B85" s="4" t="s">
        <v>52</v>
      </c>
      <c r="C85" s="19">
        <f>10</f>
        <v>10</v>
      </c>
      <c r="D85" s="20" t="s">
        <v>59</v>
      </c>
      <c r="E85" s="20" t="s">
        <v>59</v>
      </c>
      <c r="F85" s="20" t="s">
        <v>59</v>
      </c>
      <c r="G85" s="20" t="s">
        <v>59</v>
      </c>
      <c r="H85" s="20" t="s">
        <v>59</v>
      </c>
      <c r="I85" s="20" t="s">
        <v>59</v>
      </c>
      <c r="J85" s="22">
        <f t="shared" si="1"/>
        <v>10</v>
      </c>
    </row>
    <row r="86" spans="2:10" x14ac:dyDescent="0.25">
      <c r="B86" s="4" t="s">
        <v>8</v>
      </c>
      <c r="C86" s="19" t="s">
        <v>59</v>
      </c>
      <c r="D86" s="20" t="s">
        <v>59</v>
      </c>
      <c r="E86" s="20" t="s">
        <v>59</v>
      </c>
      <c r="F86" s="20" t="s">
        <v>59</v>
      </c>
      <c r="G86" s="20">
        <v>8</v>
      </c>
      <c r="H86" s="20" t="s">
        <v>59</v>
      </c>
      <c r="I86" s="20" t="s">
        <v>59</v>
      </c>
      <c r="J86" s="22">
        <f t="shared" si="1"/>
        <v>8</v>
      </c>
    </row>
    <row r="87" spans="2:10" x14ac:dyDescent="0.25">
      <c r="B87" s="4" t="s">
        <v>16</v>
      </c>
      <c r="C87" s="19">
        <f>1</f>
        <v>1</v>
      </c>
      <c r="D87" s="20" t="s">
        <v>59</v>
      </c>
      <c r="E87" s="20" t="s">
        <v>59</v>
      </c>
      <c r="F87" s="20" t="s">
        <v>59</v>
      </c>
      <c r="G87" s="20" t="s">
        <v>59</v>
      </c>
      <c r="H87" s="20" t="s">
        <v>59</v>
      </c>
      <c r="I87" s="20" t="s">
        <v>59</v>
      </c>
      <c r="J87" s="22">
        <f t="shared" si="1"/>
        <v>1</v>
      </c>
    </row>
    <row r="88" spans="2:10" x14ac:dyDescent="0.25">
      <c r="B88" s="4" t="s">
        <v>46</v>
      </c>
      <c r="C88" s="19">
        <v>1</v>
      </c>
      <c r="D88" s="20" t="s">
        <v>59</v>
      </c>
      <c r="E88" s="20" t="s">
        <v>59</v>
      </c>
      <c r="F88" s="20" t="s">
        <v>59</v>
      </c>
      <c r="G88" s="20">
        <v>192</v>
      </c>
      <c r="H88" s="20" t="s">
        <v>59</v>
      </c>
      <c r="I88" s="20">
        <v>13</v>
      </c>
      <c r="J88" s="22">
        <f t="shared" si="1"/>
        <v>206</v>
      </c>
    </row>
    <row r="89" spans="2:10" x14ac:dyDescent="0.25">
      <c r="B89" s="4" t="s">
        <v>63</v>
      </c>
      <c r="C89" s="19">
        <f>49318+198</f>
        <v>49516</v>
      </c>
      <c r="D89" s="20">
        <f>17993+3</f>
        <v>17996</v>
      </c>
      <c r="E89" s="20">
        <f>109+3850</f>
        <v>3959</v>
      </c>
      <c r="F89" s="20">
        <f>45</f>
        <v>45</v>
      </c>
      <c r="G89" s="20">
        <f>7627</f>
        <v>7627</v>
      </c>
      <c r="H89" s="20">
        <f>2</f>
        <v>2</v>
      </c>
      <c r="I89" s="20">
        <f>1653</f>
        <v>1653</v>
      </c>
      <c r="J89" s="22">
        <f t="shared" si="1"/>
        <v>80798</v>
      </c>
    </row>
    <row r="90" spans="2:10" x14ac:dyDescent="0.25">
      <c r="B90" s="4" t="s">
        <v>94</v>
      </c>
      <c r="C90" s="19">
        <f>31</f>
        <v>31</v>
      </c>
      <c r="D90" s="20">
        <f>45+2</f>
        <v>47</v>
      </c>
      <c r="E90" s="20">
        <v>9</v>
      </c>
      <c r="F90" s="20" t="s">
        <v>59</v>
      </c>
      <c r="G90" s="20">
        <f>20</f>
        <v>20</v>
      </c>
      <c r="H90" s="20" t="s">
        <v>59</v>
      </c>
      <c r="I90" s="20" t="s">
        <v>59</v>
      </c>
      <c r="J90" s="22">
        <f t="shared" si="1"/>
        <v>107</v>
      </c>
    </row>
    <row r="91" spans="2:10" ht="35.25" customHeight="1" thickBot="1" x14ac:dyDescent="0.3">
      <c r="B91" s="6" t="s">
        <v>0</v>
      </c>
      <c r="C91" s="23">
        <f>SUM(C5:C90)</f>
        <v>71267</v>
      </c>
      <c r="D91" s="24">
        <f>SUM(D5:D90)</f>
        <v>30358</v>
      </c>
      <c r="E91" s="24">
        <f>SUM(E5:E90)</f>
        <v>7312</v>
      </c>
      <c r="F91" s="24">
        <f>SUM(F5:F90)</f>
        <v>73</v>
      </c>
      <c r="G91" s="24">
        <f>SUM(G5:G90)</f>
        <v>17785</v>
      </c>
      <c r="H91" s="24">
        <f>SUM(H5:H90)</f>
        <v>3813</v>
      </c>
      <c r="I91" s="24">
        <f>SUM(I5:I90)</f>
        <v>4630</v>
      </c>
      <c r="J91" s="25">
        <f>SUM(J5:J90)</f>
        <v>135238</v>
      </c>
    </row>
    <row r="92" spans="2:10" ht="14.25" customHeight="1" thickTop="1" x14ac:dyDescent="0.25">
      <c r="C92"/>
      <c r="D92"/>
      <c r="E92"/>
      <c r="F92"/>
      <c r="G92"/>
      <c r="H92"/>
      <c r="I92"/>
      <c r="J92"/>
    </row>
    <row r="93" spans="2:10" ht="15" customHeight="1" x14ac:dyDescent="0.25">
      <c r="C93"/>
      <c r="D93"/>
      <c r="E93"/>
      <c r="F93"/>
      <c r="G93"/>
      <c r="H93"/>
      <c r="I93"/>
      <c r="J93"/>
    </row>
    <row r="94" spans="2:10" ht="15" customHeight="1" x14ac:dyDescent="0.25">
      <c r="C94"/>
      <c r="D94"/>
      <c r="E94"/>
      <c r="F94"/>
      <c r="G94"/>
      <c r="H94"/>
      <c r="I94"/>
      <c r="J94"/>
    </row>
    <row r="95" spans="2:10" ht="15" customHeight="1" x14ac:dyDescent="0.25">
      <c r="C95"/>
      <c r="D95"/>
      <c r="E95"/>
      <c r="F95"/>
      <c r="G95"/>
      <c r="H95"/>
      <c r="I95"/>
      <c r="J95"/>
    </row>
    <row r="96" spans="2:10" ht="15" customHeight="1" x14ac:dyDescent="0.25">
      <c r="C96"/>
      <c r="D96"/>
      <c r="E96"/>
      <c r="F96"/>
      <c r="G96"/>
      <c r="H96"/>
      <c r="I96"/>
      <c r="J96"/>
    </row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</sheetData>
  <mergeCells count="1">
    <mergeCell ref="C3:J3"/>
  </mergeCells>
  <pageMargins left="0.45" right="0.45" top="0.75" bottom="0.5" header="0.3" footer="0.3"/>
  <pageSetup paperSize="5" scale="60" orientation="portrait" r:id="rId1"/>
  <headerFooter>
    <oddFooter>&amp;R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Details-Oct. Filled Positions</vt:lpstr>
      <vt:lpstr>'Details-Oct. Filled Positions'!Print_Area</vt:lpstr>
      <vt:lpstr>Summary!Print_Area</vt:lpstr>
      <vt:lpstr>'Details-Oct. Filled Positions'!Print_Titles</vt:lpstr>
    </vt:vector>
  </TitlesOfParts>
  <Company>NYC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 Rosa</dc:creator>
  <cp:lastModifiedBy>Rosa Dibenedetto</cp:lastModifiedBy>
  <cp:lastPrinted>2025-11-19T19:05:14Z</cp:lastPrinted>
  <dcterms:created xsi:type="dcterms:W3CDTF">2015-04-16T18:15:29Z</dcterms:created>
  <dcterms:modified xsi:type="dcterms:W3CDTF">2025-11-19T19:06:14Z</dcterms:modified>
</cp:coreProperties>
</file>