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dibene\AppData\Local\Microsoft\Windows\INetCache\Content.Outlook\BD22AXV4\"/>
    </mc:Choice>
  </mc:AlternateContent>
  <xr:revisionPtr revIDLastSave="0" documentId="13_ncr:1_{D0C2FB25-5324-4DD8-B361-36D812A090B1}" xr6:coauthVersionLast="47" xr6:coauthVersionMax="47" xr10:uidLastSave="{00000000-0000-0000-0000-000000000000}"/>
  <bookViews>
    <workbookView xWindow="0" yWindow="2355" windowWidth="46005" windowHeight="15435" xr2:uid="{00000000-000D-0000-FFFF-FFFF00000000}"/>
  </bookViews>
  <sheets>
    <sheet name="Summary" sheetId="2" r:id="rId1"/>
    <sheet name="Details for Feb. 2025" sheetId="8" r:id="rId2"/>
  </sheets>
  <definedNames>
    <definedName name="_xlnm._FilterDatabase" localSheetId="1" hidden="1">'Details for Feb. 2025'!#REF!</definedName>
    <definedName name="_xlnm.Print_Area" localSheetId="1">'Details for Feb. 2025'!$A$1:$H$76</definedName>
    <definedName name="_xlnm.Print_Area" localSheetId="0">Summary!$A$1:$L$21</definedName>
    <definedName name="_xlnm.Print_Titles" localSheetId="1">'Details for Feb. 2025'!$B:$B,'Details for Feb. 2025'!$1:$4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8" l="1"/>
  <c r="E75" i="8"/>
  <c r="F75" i="8"/>
  <c r="G75" i="8"/>
  <c r="H75" i="8"/>
  <c r="H5" i="8"/>
  <c r="H7" i="8"/>
  <c r="H8" i="8"/>
  <c r="H11" i="8"/>
  <c r="H13" i="8"/>
  <c r="H16" i="8"/>
  <c r="H22" i="8"/>
  <c r="H25" i="8"/>
  <c r="H28" i="8"/>
  <c r="H33" i="8"/>
  <c r="H34" i="8"/>
  <c r="H37" i="8"/>
  <c r="H39" i="8"/>
  <c r="H46" i="8"/>
  <c r="H47" i="8"/>
  <c r="H51" i="8"/>
  <c r="H54" i="8"/>
  <c r="H56" i="8"/>
  <c r="H59" i="8"/>
  <c r="H60" i="8"/>
  <c r="H61" i="8"/>
  <c r="H69" i="8"/>
  <c r="H74" i="8"/>
  <c r="C73" i="8"/>
  <c r="C53" i="8"/>
  <c r="H13" i="2"/>
  <c r="H11" i="2"/>
  <c r="H15" i="2"/>
  <c r="E35" i="8"/>
  <c r="G41" i="8"/>
  <c r="C41" i="8"/>
  <c r="I15" i="2"/>
  <c r="I13" i="2"/>
  <c r="I12" i="2"/>
  <c r="I11" i="2"/>
  <c r="H12" i="2"/>
  <c r="H16" i="2"/>
  <c r="E11" i="2"/>
  <c r="F73" i="8"/>
  <c r="E14" i="2"/>
  <c r="E15" i="2"/>
  <c r="D15" i="2"/>
  <c r="D13" i="2"/>
  <c r="D12" i="2"/>
  <c r="E73" i="8"/>
  <c r="E63" i="8"/>
  <c r="E64" i="8"/>
  <c r="C18" i="8"/>
  <c r="C9" i="8"/>
  <c r="C6" i="8"/>
  <c r="C27" i="8"/>
  <c r="G68" i="8"/>
  <c r="E40" i="8"/>
  <c r="E42" i="8"/>
  <c r="G53" i="8"/>
  <c r="G31" i="8"/>
  <c r="G36" i="8"/>
  <c r="D36" i="8"/>
  <c r="C36" i="8"/>
  <c r="G29" i="8"/>
  <c r="E29" i="8"/>
  <c r="D29" i="8"/>
  <c r="C29" i="8"/>
  <c r="G43" i="8"/>
  <c r="C45" i="8"/>
  <c r="C49" i="8"/>
  <c r="C48" i="8"/>
  <c r="C43" i="8"/>
  <c r="E9" i="8"/>
  <c r="D9" i="8"/>
  <c r="D63" i="8"/>
  <c r="G32" i="8"/>
  <c r="D32" i="8"/>
  <c r="C32" i="8"/>
  <c r="C72" i="8"/>
  <c r="C71" i="8"/>
  <c r="C70" i="8"/>
  <c r="C68" i="8"/>
  <c r="C67" i="8"/>
  <c r="C66" i="8"/>
  <c r="G65" i="8"/>
  <c r="C65" i="8"/>
  <c r="F63" i="8"/>
  <c r="C62" i="8"/>
  <c r="C58" i="8"/>
  <c r="C57" i="8"/>
  <c r="C55" i="8"/>
  <c r="D53" i="8"/>
  <c r="C52" i="8"/>
  <c r="G50" i="8"/>
  <c r="E45" i="8"/>
  <c r="C44" i="8"/>
  <c r="E41" i="8"/>
  <c r="G40" i="8"/>
  <c r="D40" i="8"/>
  <c r="G38" i="8"/>
  <c r="C38" i="8"/>
  <c r="C35" i="8"/>
  <c r="E32" i="8"/>
  <c r="D31" i="8"/>
  <c r="C30" i="8"/>
  <c r="C26" i="8"/>
  <c r="G24" i="8"/>
  <c r="C23" i="8"/>
  <c r="C21" i="8"/>
  <c r="C20" i="8"/>
  <c r="C19" i="8"/>
  <c r="C17" i="8"/>
  <c r="C15" i="8"/>
  <c r="C14" i="8"/>
  <c r="G12" i="8"/>
  <c r="C12" i="8"/>
  <c r="C10" i="8"/>
  <c r="H24" i="8"/>
  <c r="H40" i="8"/>
  <c r="H41" i="8"/>
  <c r="H42" i="8"/>
  <c r="H50" i="8"/>
  <c r="H31" i="8"/>
  <c r="H64" i="8"/>
  <c r="H10" i="8"/>
  <c r="H38" i="8"/>
  <c r="H48" i="8"/>
  <c r="H49" i="8"/>
  <c r="H27" i="8"/>
  <c r="H17" i="8"/>
  <c r="H44" i="8"/>
  <c r="H19" i="8"/>
  <c r="H20" i="8"/>
  <c r="H35" i="8"/>
  <c r="H65" i="8"/>
  <c r="H43" i="8"/>
  <c r="H73" i="8"/>
  <c r="H32" i="8"/>
  <c r="H67" i="8"/>
  <c r="H23" i="8"/>
  <c r="H57" i="8"/>
  <c r="H18" i="8"/>
  <c r="H53" i="8"/>
  <c r="H21" i="8"/>
  <c r="H52" i="8"/>
  <c r="H12" i="8"/>
  <c r="H66" i="8"/>
  <c r="H55" i="8"/>
  <c r="H45" i="8"/>
  <c r="H6" i="8"/>
  <c r="H14" i="8"/>
  <c r="H26" i="8"/>
  <c r="H68" i="8"/>
  <c r="H9" i="8"/>
  <c r="H15" i="8"/>
  <c r="H30" i="8"/>
  <c r="H58" i="8"/>
  <c r="H70" i="8"/>
  <c r="H63" i="8"/>
  <c r="H29" i="8"/>
  <c r="H36" i="8"/>
  <c r="H62" i="8"/>
  <c r="H71" i="8"/>
  <c r="H72" i="8"/>
  <c r="C75" i="8"/>
  <c r="J15" i="2"/>
  <c r="I16" i="2"/>
  <c r="F15" i="2"/>
  <c r="J14" i="2"/>
  <c r="F14" i="2"/>
  <c r="J13" i="2"/>
  <c r="E16" i="2"/>
  <c r="J12" i="2"/>
  <c r="F12" i="2"/>
  <c r="J11" i="2"/>
  <c r="G16" i="2"/>
  <c r="F11" i="2"/>
  <c r="K14" i="2"/>
  <c r="K15" i="2"/>
  <c r="K11" i="2"/>
  <c r="J16" i="2"/>
  <c r="K12" i="2"/>
  <c r="F13" i="2"/>
  <c r="K13" i="2"/>
  <c r="D16" i="2"/>
  <c r="F16" i="2"/>
  <c r="K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DiBenedetto Rosa</author>
  </authors>
  <commentList>
    <comment ref="H10" authorId="0" shapeId="0" xr:uid="{45ED0570-828C-477E-A28A-5D32D6A77972}">
      <text>
        <r>
          <rPr>
            <b/>
            <sz val="9"/>
            <color indexed="81"/>
            <rFont val="Tahoma"/>
            <family val="2"/>
          </rPr>
          <t>includes hourly admin.positions.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<sst xmlns="http://schemas.openxmlformats.org/spreadsheetml/2006/main" count="330" uniqueCount="109">
  <si>
    <t>Grand Total</t>
  </si>
  <si>
    <t>ASSISTANT SUPERINTENDENT</t>
  </si>
  <si>
    <t>EDUCATION ADMINISTRATOR</t>
  </si>
  <si>
    <t>PRINCIPAL - DAY HIGH SCHOOL</t>
  </si>
  <si>
    <t>PRINCIPAL - J.H.S.</t>
  </si>
  <si>
    <t>PRINCIPAL - DAY ELEMENTARY SCHOOL</t>
  </si>
  <si>
    <t>PRINCIPAL - ASSIGNED</t>
  </si>
  <si>
    <t>SCHOOL PSYCHOLOGIST - SABBATICAL LEAVE</t>
  </si>
  <si>
    <t>SCHOOL SOCIAL WORKER</t>
  </si>
  <si>
    <t>GUIDANCE COUNSELOR</t>
  </si>
  <si>
    <t>GUIDANCE COUNSELOR - SABBATICAL</t>
  </si>
  <si>
    <t>GUIDANCE COUNSELOR - BILINGUAL</t>
  </si>
  <si>
    <t>COACH - INSTRUCTIONAL</t>
  </si>
  <si>
    <t>COACH - INSTRUCTIONAL SPECIAL EDUCATION</t>
  </si>
  <si>
    <t>TEACHER - TRAINER</t>
  </si>
  <si>
    <t>LABORATORY SPECIALIST</t>
  </si>
  <si>
    <t>ADULT EDUCATION TEACHER</t>
  </si>
  <si>
    <t>SUBSTITUTE VOCATIONAL ASSISTANT</t>
  </si>
  <si>
    <t>LABORATORY ASSISTANT</t>
  </si>
  <si>
    <t>SCHOOL SECRETARY</t>
  </si>
  <si>
    <t>PROGRAM PRODUCER-TV/AUDIO, LEVEL 3</t>
  </si>
  <si>
    <t>DISTRICT BUSINESS MANAGER</t>
  </si>
  <si>
    <t>SCHOOL BUSINESS MANAGER</t>
  </si>
  <si>
    <t>SUBSTANCE ABUSE PREVENTION &amp; INTERV SPEC</t>
  </si>
  <si>
    <t>SENIOR SCHOOL NEIGHBORHOOD WORKER</t>
  </si>
  <si>
    <t>SCHOOL NEIGHBORHOOD WORKER</t>
  </si>
  <si>
    <t>ELEVATOR OPERATOR</t>
  </si>
  <si>
    <t>MACHINIST HELPER</t>
  </si>
  <si>
    <t>SCHOOL EQUIPMENT MAINTAINER</t>
  </si>
  <si>
    <t>PRINCIPAL ADMINISTRATIVE ASSOCIATE</t>
  </si>
  <si>
    <t>CLERICAL ASSOCIATE</t>
  </si>
  <si>
    <t>SECRETARY</t>
  </si>
  <si>
    <t>STOCKWORKER</t>
  </si>
  <si>
    <t>COMMUNITY COORDINATOR</t>
  </si>
  <si>
    <t>COMMUNITY ASSOCIATE</t>
  </si>
  <si>
    <t>OCCUPATIONAL THERAPIST (DOE)</t>
  </si>
  <si>
    <t>PHYSICAL THERAPIST (DOE)</t>
  </si>
  <si>
    <t>COMMUNITY ASSISTANT</t>
  </si>
  <si>
    <t>EDUCATIONAL PARAPROFESSIONAL(FY04+)</t>
  </si>
  <si>
    <t>IEP EDUCATIONAL PARAPROFESSIONAL(FY04+)</t>
  </si>
  <si>
    <t>TEACHER AIDE CITYWIDE (FY05+)</t>
  </si>
  <si>
    <t>SCHOOL COMPUTER TECHNOLOGY SPECIALIST</t>
  </si>
  <si>
    <t>COMPUTER PROGRAMMER ANALYST</t>
  </si>
  <si>
    <t>COMPUTER ASSOCIATE - OPERATOR</t>
  </si>
  <si>
    <t>COMPUTER AIDE</t>
  </si>
  <si>
    <t>COMPUTER SERVICE TECHNICIAN</t>
  </si>
  <si>
    <t>SUPERVISING COMPUTER SERVICE TECHNICIAN</t>
  </si>
  <si>
    <t>COMPUTER ASSOCIATE - SOFTWARE</t>
  </si>
  <si>
    <t xml:space="preserve">City Council Terms &amp; Conditions </t>
  </si>
  <si>
    <t>Per Diem</t>
  </si>
  <si>
    <t>P/T Total</t>
  </si>
  <si>
    <t>U/A 401</t>
  </si>
  <si>
    <t>U/A 403</t>
  </si>
  <si>
    <t>-</t>
  </si>
  <si>
    <t>U/A 481</t>
  </si>
  <si>
    <t>TOTAL</t>
  </si>
  <si>
    <t>ASSISTANT PRINCIPAL TITLES</t>
  </si>
  <si>
    <t xml:space="preserve">TEACHER TITLES </t>
  </si>
  <si>
    <t>HOURLY ADMIN TITLES</t>
  </si>
  <si>
    <t>PER DIEM STAFF</t>
  </si>
  <si>
    <t>SCHOOL GUARDS &amp; STUDENT AIDES-HOURLY</t>
  </si>
  <si>
    <t>FAMILY PARAS-HOURLY</t>
  </si>
  <si>
    <t>COMMUNITY ASSISTANT- part-time</t>
  </si>
  <si>
    <t>Total</t>
  </si>
  <si>
    <t xml:space="preserve"> U/A 401</t>
  </si>
  <si>
    <t xml:space="preserve"> U/A 403</t>
  </si>
  <si>
    <t xml:space="preserve"> U/A 481</t>
  </si>
  <si>
    <t>PRINCIPAL - MASTER &amp; MODEL</t>
  </si>
  <si>
    <t>PRINCIPAL - ADULT EDUCATION</t>
  </si>
  <si>
    <t>CERTIFIED IT ADMINISTRATOR (LAN/WAN)</t>
  </si>
  <si>
    <t xml:space="preserve"> U/A 407</t>
  </si>
  <si>
    <t xml:space="preserve"> U/A 409</t>
  </si>
  <si>
    <t>U/A Description</t>
  </si>
  <si>
    <t>UPK</t>
  </si>
  <si>
    <t>Gen. Ed. Instr. &amp; School Leadership</t>
  </si>
  <si>
    <t>Special Ed. Instr. &amp; School Leadership</t>
  </si>
  <si>
    <t>Categorical Programs</t>
  </si>
  <si>
    <t>Early Childhood</t>
  </si>
  <si>
    <t xml:space="preserve"> Non-Peds - o/c 001</t>
  </si>
  <si>
    <t>Peds - o/c 005</t>
  </si>
  <si>
    <t>Part Time - o/c 021</t>
  </si>
  <si>
    <t>Part -time - o/c 031</t>
  </si>
  <si>
    <t>NYC DOE</t>
  </si>
  <si>
    <t>School-based staff</t>
  </si>
  <si>
    <t>U/A 409</t>
  </si>
  <si>
    <t>U/A 407</t>
  </si>
  <si>
    <t>COMPUTER ASSOCIATE - TECH SUPPORT</t>
  </si>
  <si>
    <t>COMPUTER SPECIALIST SOFTWARE</t>
  </si>
  <si>
    <t>TEACHER ASSISTANT LEAD ED. PARA,SPECIAL ED. &amp; ESL</t>
  </si>
  <si>
    <t>SCHOOL PSYCHOLOGIST (&amp; BILINGUAL)</t>
  </si>
  <si>
    <t>SCHOOL SOCIAL WORKER SABBATICAL</t>
  </si>
  <si>
    <t>ADULT EDUCATION TEACHER - SABBATICAL</t>
  </si>
  <si>
    <t>SCHOOL AIDES -  HOURLY</t>
  </si>
  <si>
    <t>Full - time/ Total</t>
  </si>
  <si>
    <t>ADMINISTRATIVE EDUCATION ANALYST (UNION)</t>
  </si>
  <si>
    <t>ADMINISTRATIVE EDUCATION OFFICER (UNION)</t>
  </si>
  <si>
    <t>Titles</t>
  </si>
  <si>
    <t>F/T &amp; P/T Details</t>
  </si>
  <si>
    <t>SCHOOL SECRETARY SABBATICAL</t>
  </si>
  <si>
    <t>COMMUNITY ASSOCIATE - part-time</t>
  </si>
  <si>
    <t>PSYCHOLOGIST-IN-TRAINING</t>
  </si>
  <si>
    <t>FAMIS Filled Positions - FY 2025</t>
  </si>
  <si>
    <t>FY 2025 HEADCOUNT ACTUALS FOR CITY COUNCIL</t>
  </si>
  <si>
    <t>PRINCIPAL - DAY ELEMENTARY SABBATICAL</t>
  </si>
  <si>
    <t>Due:  March 15, 2025</t>
  </si>
  <si>
    <t>FY 2025 - February Filled Positions</t>
  </si>
  <si>
    <t>FY 2025 - February  Filled Positions</t>
  </si>
  <si>
    <t xml:space="preserve">Notes: Totals may differ from Details tab due to rounding.     </t>
  </si>
  <si>
    <t xml:space="preserve"> - U/A 415 excluded due to reorg.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</si>
</sst>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2EE"/>
        <bgColor indexed="64"/>
      </patternFill>
    </fill>
    <fill>
      <patternFill patternType="solid">
        <fgColor rgb="FFF7F9EB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C00000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C00000"/>
      </top>
      <bottom style="thick">
        <color rgb="FFC00000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0" fillId="0" borderId="0" xfId="0" applyNumberFormat="1"/>
    <xf numFmtId="0" fontId="2" fillId="0" borderId="10" xfId="0" applyFont="1" applyBorder="1" applyAlignment="1">
      <alignment wrapText="1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6" fillId="0" borderId="0" xfId="0" quotePrefix="1" applyFont="1" applyAlignment="1">
      <alignment horizontal="left"/>
    </xf>
    <xf numFmtId="0" fontId="0" fillId="2" borderId="11" xfId="0" applyFill="1" applyBorder="1" applyAlignment="1">
      <alignment horizontal="left"/>
    </xf>
    <xf numFmtId="0" fontId="2" fillId="0" borderId="17" xfId="0" quotePrefix="1" applyFont="1" applyBorder="1" applyAlignment="1">
      <alignment horizontal="center" wrapText="1"/>
    </xf>
    <xf numFmtId="164" fontId="0" fillId="0" borderId="0" xfId="1" applyNumberFormat="1" applyFont="1"/>
    <xf numFmtId="0" fontId="0" fillId="0" borderId="20" xfId="0" applyBorder="1"/>
    <xf numFmtId="0" fontId="2" fillId="3" borderId="2" xfId="0" applyFont="1" applyFill="1" applyBorder="1"/>
    <xf numFmtId="164" fontId="2" fillId="3" borderId="2" xfId="1" quotePrefix="1" applyNumberFormat="1" applyFont="1" applyFill="1" applyBorder="1" applyAlignment="1">
      <alignment horizontal="center"/>
    </xf>
    <xf numFmtId="164" fontId="2" fillId="3" borderId="18" xfId="1" applyNumberFormat="1" applyFont="1" applyFill="1" applyBorder="1" applyAlignment="1">
      <alignment horizontal="center"/>
    </xf>
    <xf numFmtId="164" fontId="2" fillId="3" borderId="15" xfId="1" quotePrefix="1" applyNumberFormat="1" applyFont="1" applyFill="1" applyBorder="1" applyAlignment="1">
      <alignment horizontal="right"/>
    </xf>
    <xf numFmtId="164" fontId="2" fillId="3" borderId="2" xfId="1" quotePrefix="1" applyNumberFormat="1" applyFont="1" applyFill="1" applyBorder="1" applyAlignment="1">
      <alignment horizontal="right"/>
    </xf>
    <xf numFmtId="0" fontId="2" fillId="3" borderId="3" xfId="0" applyFont="1" applyFill="1" applyBorder="1"/>
    <xf numFmtId="164" fontId="2" fillId="3" borderId="3" xfId="1" applyNumberFormat="1" applyFont="1" applyFill="1" applyBorder="1" applyAlignment="1">
      <alignment horizontal="center"/>
    </xf>
    <xf numFmtId="164" fontId="2" fillId="3" borderId="19" xfId="1" applyNumberFormat="1" applyFont="1" applyFill="1" applyBorder="1" applyAlignment="1">
      <alignment horizontal="center"/>
    </xf>
    <xf numFmtId="164" fontId="2" fillId="3" borderId="16" xfId="1" applyNumberFormat="1" applyFont="1" applyFill="1" applyBorder="1" applyAlignment="1">
      <alignment horizontal="center"/>
    </xf>
    <xf numFmtId="0" fontId="7" fillId="0" borderId="0" xfId="0" applyFont="1"/>
    <xf numFmtId="164" fontId="8" fillId="0" borderId="0" xfId="1" applyNumberFormat="1" applyFont="1"/>
    <xf numFmtId="164" fontId="1" fillId="0" borderId="0" xfId="1" applyNumberFormat="1" applyFont="1"/>
    <xf numFmtId="164" fontId="2" fillId="4" borderId="9" xfId="1" applyNumberFormat="1" applyFont="1" applyFill="1" applyBorder="1" applyAlignment="1">
      <alignment horizontal="center" wrapText="1"/>
    </xf>
    <xf numFmtId="164" fontId="2" fillId="4" borderId="4" xfId="1" applyNumberFormat="1" applyFont="1" applyFill="1" applyBorder="1" applyAlignment="1">
      <alignment horizontal="center" wrapText="1"/>
    </xf>
    <xf numFmtId="164" fontId="2" fillId="4" borderId="5" xfId="1" applyNumberFormat="1" applyFont="1" applyFill="1" applyBorder="1" applyAlignment="1">
      <alignment horizontal="center" wrapText="1"/>
    </xf>
    <xf numFmtId="164" fontId="1" fillId="4" borderId="6" xfId="1" quotePrefix="1" applyNumberFormat="1" applyFont="1" applyFill="1" applyBorder="1" applyAlignment="1">
      <alignment horizontal="center"/>
    </xf>
    <xf numFmtId="164" fontId="1" fillId="4" borderId="7" xfId="1" quotePrefix="1" applyNumberFormat="1" applyFont="1" applyFill="1" applyBorder="1" applyAlignment="1">
      <alignment horizontal="center"/>
    </xf>
    <xf numFmtId="164" fontId="1" fillId="4" borderId="8" xfId="1" applyNumberFormat="1" applyFont="1" applyFill="1" applyBorder="1" applyAlignment="1">
      <alignment horizontal="center"/>
    </xf>
    <xf numFmtId="0" fontId="10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0" borderId="21" xfId="0" applyFont="1" applyBorder="1" applyAlignment="1">
      <alignment horizontal="left"/>
    </xf>
    <xf numFmtId="165" fontId="1" fillId="0" borderId="0" xfId="1" applyNumberFormat="1" applyFont="1"/>
    <xf numFmtId="164" fontId="2" fillId="4" borderId="22" xfId="1" quotePrefix="1" applyNumberFormat="1" applyFont="1" applyFill="1" applyBorder="1" applyAlignment="1">
      <alignment horizontal="center"/>
    </xf>
    <xf numFmtId="164" fontId="2" fillId="4" borderId="23" xfId="1" applyNumberFormat="1" applyFont="1" applyFill="1" applyBorder="1" applyAlignment="1">
      <alignment horizontal="center"/>
    </xf>
    <xf numFmtId="164" fontId="2" fillId="4" borderId="24" xfId="1" applyNumberFormat="1" applyFont="1" applyFill="1" applyBorder="1" applyAlignment="1">
      <alignment horizontal="center"/>
    </xf>
    <xf numFmtId="0" fontId="2" fillId="4" borderId="12" xfId="0" quotePrefix="1" applyFont="1" applyFill="1" applyBorder="1" applyAlignment="1">
      <alignment horizontal="center"/>
    </xf>
    <xf numFmtId="0" fontId="2" fillId="4" borderId="13" xfId="0" quotePrefix="1" applyFont="1" applyFill="1" applyBorder="1" applyAlignment="1">
      <alignment horizontal="center"/>
    </xf>
    <xf numFmtId="0" fontId="2" fillId="4" borderId="14" xfId="0" quotePrefix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7F9EB"/>
      <color rgb="FFF6FBD5"/>
      <color rgb="FFFFFF66"/>
      <color rgb="FFE7FFEA"/>
      <color rgb="FFF9F6F5"/>
      <color rgb="FFDAE2DA"/>
      <color rgb="FFEDECF4"/>
      <color rgb="FFEFF2EE"/>
      <color rgb="FFEEEFED"/>
      <color rgb="FFEDF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581991</xdr:colOff>
      <xdr:row>1</xdr:row>
      <xdr:rowOff>139320</xdr:rowOff>
    </xdr:from>
    <xdr:ext cx="1095874" cy="38821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156E89B-55CC-6802-DA70-0ED6277FBBD8}"/>
            </a:ext>
          </a:extLst>
        </xdr:cNvPr>
        <xdr:cNvSpPr/>
      </xdr:nvSpPr>
      <xdr:spPr>
        <a:xfrm>
          <a:off x="7352068" y="329820"/>
          <a:ext cx="1095874" cy="38821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chemeClr val="accent3">
                  <a:alpha val="98000"/>
                </a:schemeClr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3/15/25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tabColor rgb="FFE0F4E2"/>
  </sheetPr>
  <dimension ref="B2:K268"/>
  <sheetViews>
    <sheetView showGridLines="0" tabSelected="1" zoomScale="130" zoomScaleNormal="130" workbookViewId="0">
      <selection activeCell="B7" sqref="B7"/>
    </sheetView>
  </sheetViews>
  <sheetFormatPr defaultRowHeight="15" customHeight="1" x14ac:dyDescent="0.25"/>
  <cols>
    <col min="1" max="1" width="1.42578125" customWidth="1"/>
    <col min="2" max="2" width="17.7109375" customWidth="1"/>
    <col min="3" max="3" width="34.7109375" bestFit="1" customWidth="1"/>
    <col min="4" max="4" width="13" customWidth="1"/>
    <col min="5" max="5" width="12.28515625" customWidth="1"/>
    <col min="6" max="6" width="11.85546875" customWidth="1"/>
    <col min="7" max="7" width="10.5703125" customWidth="1"/>
    <col min="8" max="8" width="11.7109375" customWidth="1"/>
    <col min="9" max="9" width="10.5703125" customWidth="1"/>
    <col min="10" max="10" width="10.42578125" customWidth="1"/>
    <col min="11" max="11" width="11.85546875" customWidth="1"/>
    <col min="12" max="12" width="10" customWidth="1"/>
    <col min="13" max="13" width="9.28515625" customWidth="1"/>
    <col min="14" max="14" width="9.140625" customWidth="1"/>
    <col min="15" max="15" width="12.28515625" bestFit="1" customWidth="1"/>
    <col min="16" max="24" width="12.28515625" customWidth="1"/>
    <col min="25" max="29" width="9.140625" customWidth="1"/>
    <col min="31" max="31" width="9.140625" customWidth="1"/>
  </cols>
  <sheetData>
    <row r="2" spans="2:11" ht="21" x14ac:dyDescent="0.35">
      <c r="B2" s="24" t="s">
        <v>82</v>
      </c>
      <c r="C2" s="1"/>
    </row>
    <row r="3" spans="2:11" ht="21" x14ac:dyDescent="0.35">
      <c r="B3" s="24" t="s">
        <v>48</v>
      </c>
      <c r="C3" s="1"/>
    </row>
    <row r="4" spans="2:11" ht="21" x14ac:dyDescent="0.35">
      <c r="B4" s="24" t="s">
        <v>101</v>
      </c>
      <c r="C4" s="1"/>
    </row>
    <row r="5" spans="2:11" ht="18.75" x14ac:dyDescent="0.3">
      <c r="B5" s="1" t="s">
        <v>104</v>
      </c>
      <c r="C5" s="1"/>
    </row>
    <row r="6" spans="2:11" ht="18.75" x14ac:dyDescent="0.3">
      <c r="B6" s="1"/>
      <c r="C6" s="1"/>
    </row>
    <row r="7" spans="2:11" ht="18.75" x14ac:dyDescent="0.3">
      <c r="B7" s="1"/>
      <c r="C7" s="1"/>
    </row>
    <row r="8" spans="2:11" x14ac:dyDescent="0.25"/>
    <row r="9" spans="2:11" ht="18.75" x14ac:dyDescent="0.3">
      <c r="B9" s="10" t="s">
        <v>105</v>
      </c>
      <c r="C9" s="1"/>
    </row>
    <row r="10" spans="2:11" ht="30.75" thickBot="1" x14ac:dyDescent="0.3">
      <c r="B10" s="2" t="s">
        <v>83</v>
      </c>
      <c r="C10" s="2" t="s">
        <v>72</v>
      </c>
      <c r="D10" s="4" t="s">
        <v>78</v>
      </c>
      <c r="E10" s="5" t="s">
        <v>79</v>
      </c>
      <c r="F10" s="12" t="s">
        <v>93</v>
      </c>
      <c r="G10" s="4" t="s">
        <v>80</v>
      </c>
      <c r="H10" s="4" t="s">
        <v>81</v>
      </c>
      <c r="I10" s="5" t="s">
        <v>49</v>
      </c>
      <c r="J10" s="3" t="s">
        <v>50</v>
      </c>
      <c r="K10" s="4" t="s">
        <v>0</v>
      </c>
    </row>
    <row r="11" spans="2:11" ht="15.75" thickTop="1" x14ac:dyDescent="0.25">
      <c r="B11" s="15" t="s">
        <v>51</v>
      </c>
      <c r="C11" s="15" t="s">
        <v>74</v>
      </c>
      <c r="D11" s="18">
        <v>2805</v>
      </c>
      <c r="E11" s="19">
        <f>59291+197</f>
        <v>59488</v>
      </c>
      <c r="F11" s="17">
        <f>E11+D11</f>
        <v>62293</v>
      </c>
      <c r="G11" s="18">
        <v>3</v>
      </c>
      <c r="H11" s="18">
        <f>6222+2</f>
        <v>6224</v>
      </c>
      <c r="I11" s="18">
        <f>267</f>
        <v>267</v>
      </c>
      <c r="J11" s="18">
        <f>SUM(G11:I11)</f>
        <v>6494</v>
      </c>
      <c r="K11" s="16">
        <f>J11+F11</f>
        <v>68787</v>
      </c>
    </row>
    <row r="12" spans="2:11" x14ac:dyDescent="0.25">
      <c r="B12" s="15" t="s">
        <v>52</v>
      </c>
      <c r="C12" s="15" t="s">
        <v>75</v>
      </c>
      <c r="D12" s="18">
        <f>13</f>
        <v>13</v>
      </c>
      <c r="E12" s="19">
        <v>29512</v>
      </c>
      <c r="F12" s="17">
        <f t="shared" ref="F12:F15" si="0">E12+D12</f>
        <v>29525</v>
      </c>
      <c r="G12" s="18" t="s">
        <v>53</v>
      </c>
      <c r="H12" s="18">
        <f>6</f>
        <v>6</v>
      </c>
      <c r="I12" s="18">
        <f>51</f>
        <v>51</v>
      </c>
      <c r="J12" s="18">
        <f t="shared" ref="J12:J15" si="1">SUM(G12:I12)</f>
        <v>57</v>
      </c>
      <c r="K12" s="16">
        <f t="shared" ref="K12:K15" si="2">J12+F12</f>
        <v>29582</v>
      </c>
    </row>
    <row r="13" spans="2:11" x14ac:dyDescent="0.25">
      <c r="B13" s="15" t="s">
        <v>85</v>
      </c>
      <c r="C13" s="15" t="s">
        <v>73</v>
      </c>
      <c r="D13" s="18">
        <f>111</f>
        <v>111</v>
      </c>
      <c r="E13" s="19">
        <v>6884</v>
      </c>
      <c r="F13" s="17">
        <f t="shared" si="0"/>
        <v>6995</v>
      </c>
      <c r="G13" s="18" t="s">
        <v>53</v>
      </c>
      <c r="H13" s="18">
        <f>65+1</f>
        <v>66</v>
      </c>
      <c r="I13" s="18">
        <f>7</f>
        <v>7</v>
      </c>
      <c r="J13" s="18">
        <f t="shared" si="1"/>
        <v>73</v>
      </c>
      <c r="K13" s="16">
        <f t="shared" si="2"/>
        <v>7068</v>
      </c>
    </row>
    <row r="14" spans="2:11" x14ac:dyDescent="0.25">
      <c r="B14" s="15" t="s">
        <v>84</v>
      </c>
      <c r="C14" s="15" t="s">
        <v>77</v>
      </c>
      <c r="D14" s="18" t="s">
        <v>53</v>
      </c>
      <c r="E14" s="19">
        <f>19+18+28</f>
        <v>65</v>
      </c>
      <c r="F14" s="17">
        <f t="shared" si="0"/>
        <v>65</v>
      </c>
      <c r="G14" s="18" t="s">
        <v>53</v>
      </c>
      <c r="H14" s="18" t="s">
        <v>53</v>
      </c>
      <c r="I14" s="18" t="s">
        <v>53</v>
      </c>
      <c r="J14" s="18">
        <f t="shared" si="1"/>
        <v>0</v>
      </c>
      <c r="K14" s="16">
        <f t="shared" si="2"/>
        <v>65</v>
      </c>
    </row>
    <row r="15" spans="2:11" x14ac:dyDescent="0.25">
      <c r="B15" s="15" t="s">
        <v>54</v>
      </c>
      <c r="C15" s="15" t="s">
        <v>76</v>
      </c>
      <c r="D15" s="18">
        <f>474</f>
        <v>474</v>
      </c>
      <c r="E15" s="19">
        <f>3718</f>
        <v>3718</v>
      </c>
      <c r="F15" s="17">
        <f t="shared" si="0"/>
        <v>4192</v>
      </c>
      <c r="G15" s="18" t="s">
        <v>53</v>
      </c>
      <c r="H15" s="18">
        <f>113+2</f>
        <v>115</v>
      </c>
      <c r="I15" s="18">
        <f>72</f>
        <v>72</v>
      </c>
      <c r="J15" s="18">
        <f t="shared" si="1"/>
        <v>187</v>
      </c>
      <c r="K15" s="16">
        <f t="shared" si="2"/>
        <v>4379</v>
      </c>
    </row>
    <row r="16" spans="2:11" ht="15.75" thickBot="1" x14ac:dyDescent="0.3">
      <c r="B16" s="20" t="s">
        <v>55</v>
      </c>
      <c r="C16" s="20"/>
      <c r="D16" s="21">
        <f t="shared" ref="D16:K16" si="3">SUM(D11:D15)</f>
        <v>3403</v>
      </c>
      <c r="E16" s="21">
        <f t="shared" si="3"/>
        <v>99667</v>
      </c>
      <c r="F16" s="22">
        <f t="shared" si="3"/>
        <v>103070</v>
      </c>
      <c r="G16" s="23">
        <f t="shared" si="3"/>
        <v>3</v>
      </c>
      <c r="H16" s="21">
        <f>SUM(H11:H15)</f>
        <v>6411</v>
      </c>
      <c r="I16" s="21">
        <f t="shared" si="3"/>
        <v>397</v>
      </c>
      <c r="J16" s="21">
        <f t="shared" si="3"/>
        <v>6811</v>
      </c>
      <c r="K16" s="21">
        <f t="shared" si="3"/>
        <v>109881</v>
      </c>
    </row>
    <row r="17" spans="2:6" ht="15.75" thickTop="1" x14ac:dyDescent="0.25">
      <c r="B17" s="33" t="s">
        <v>107</v>
      </c>
      <c r="F17" s="6"/>
    </row>
    <row r="18" spans="2:6" x14ac:dyDescent="0.25">
      <c r="B18" s="33" t="s">
        <v>108</v>
      </c>
    </row>
    <row r="19" spans="2:6" x14ac:dyDescent="0.25"/>
    <row r="20" spans="2:6" x14ac:dyDescent="0.25"/>
    <row r="21" spans="2:6" x14ac:dyDescent="0.25"/>
    <row r="22" spans="2:6" x14ac:dyDescent="0.25"/>
    <row r="23" spans="2:6" x14ac:dyDescent="0.25"/>
    <row r="24" spans="2:6" x14ac:dyDescent="0.25"/>
    <row r="25" spans="2:6" x14ac:dyDescent="0.25"/>
    <row r="26" spans="2:6" x14ac:dyDescent="0.25"/>
    <row r="27" spans="2:6" x14ac:dyDescent="0.25"/>
    <row r="28" spans="2:6" x14ac:dyDescent="0.25"/>
    <row r="29" spans="2:6" x14ac:dyDescent="0.25"/>
    <row r="30" spans="2:6" x14ac:dyDescent="0.25"/>
    <row r="31" spans="2:6" x14ac:dyDescent="0.25"/>
    <row r="32" spans="2: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ht="1.5" customHeight="1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8" ht="30.75" customHeight="1" x14ac:dyDescent="0.25"/>
    <row r="64" ht="23.25" customHeight="1" x14ac:dyDescent="0.25"/>
    <row r="84" ht="20.25" customHeight="1" x14ac:dyDescent="0.25"/>
    <row r="85" ht="37.5" customHeight="1" x14ac:dyDescent="0.25"/>
    <row r="86" ht="51.75" customHeight="1" x14ac:dyDescent="0.25"/>
    <row r="92" ht="23.25" customHeight="1" x14ac:dyDescent="0.25"/>
    <row r="96" ht="28.5" customHeight="1" x14ac:dyDescent="0.25"/>
    <row r="97" ht="36.75" customHeight="1" x14ac:dyDescent="0.25"/>
    <row r="103" ht="21.75" customHeight="1" x14ac:dyDescent="0.25"/>
    <row r="107" ht="31.5" customHeight="1" x14ac:dyDescent="0.25"/>
    <row r="108" ht="58.5" customHeight="1" x14ac:dyDescent="0.25"/>
    <row r="120" ht="27" customHeight="1" x14ac:dyDescent="0.25"/>
    <row r="121" ht="38.25" customHeight="1" x14ac:dyDescent="0.25"/>
    <row r="134" ht="41.25" customHeight="1" x14ac:dyDescent="0.25"/>
    <row r="141" ht="36.75" customHeight="1" x14ac:dyDescent="0.25"/>
    <row r="146" ht="21.75" customHeight="1" x14ac:dyDescent="0.25"/>
    <row r="147" ht="41.25" customHeight="1" x14ac:dyDescent="0.25"/>
    <row r="159" x14ac:dyDescent="0.25"/>
    <row r="160" ht="41.25" customHeight="1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ht="24" customHeight="1" x14ac:dyDescent="0.25"/>
    <row r="168" x14ac:dyDescent="0.25"/>
    <row r="174" ht="41.25" customHeight="1" x14ac:dyDescent="0.25"/>
    <row r="188" ht="43.5" customHeight="1" x14ac:dyDescent="0.25"/>
    <row r="202" ht="31.5" customHeight="1" x14ac:dyDescent="0.25"/>
    <row r="216" ht="39.75" customHeight="1" x14ac:dyDescent="0.25"/>
    <row r="224" ht="29.25" customHeight="1" x14ac:dyDescent="0.25"/>
    <row r="233" ht="17.25" customHeight="1" x14ac:dyDescent="0.25"/>
    <row r="235" ht="30" customHeight="1" x14ac:dyDescent="0.25"/>
    <row r="247" ht="19.5" customHeight="1" x14ac:dyDescent="0.25"/>
    <row r="253" ht="17.25" customHeight="1" x14ac:dyDescent="0.25"/>
    <row r="267" ht="1.5" customHeight="1" x14ac:dyDescent="0.25"/>
    <row r="268" ht="33" customHeight="1" x14ac:dyDescent="0.25"/>
  </sheetData>
  <pageMargins left="0.45" right="0.45" top="0.5" bottom="0.5" header="0.3" footer="0.3"/>
  <pageSetup paperSize="5" scale="65" orientation="landscape" cellComments="asDisplayed" r:id="rId1"/>
  <headerFooter>
    <oddFooter>&amp;L&amp;8&amp;Z&amp;F</oddFooter>
  </headerFooter>
  <rowBreaks count="1" manualBreakCount="1">
    <brk id="322" min="1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 codeName="Sheet2">
    <tabColor rgb="FFE0F4E2"/>
  </sheetPr>
  <dimension ref="B1:H89"/>
  <sheetViews>
    <sheetView zoomScale="115" zoomScaleNormal="115" workbookViewId="0">
      <pane xSplit="2" ySplit="4" topLeftCell="C39" activePane="bottomRight" state="frozen"/>
      <selection activeCell="B1" sqref="B1"/>
      <selection pane="topRight" activeCell="C1" sqref="C1"/>
      <selection pane="bottomLeft" activeCell="B5" sqref="B5"/>
      <selection pane="bottomRight" activeCell="B3" sqref="B3"/>
    </sheetView>
  </sheetViews>
  <sheetFormatPr defaultRowHeight="15" customHeight="1" x14ac:dyDescent="0.25"/>
  <cols>
    <col min="1" max="1" width="4.42578125" customWidth="1"/>
    <col min="2" max="2" width="66.7109375" customWidth="1"/>
    <col min="3" max="3" width="11.5703125" customWidth="1"/>
    <col min="4" max="4" width="11.85546875" customWidth="1"/>
    <col min="5" max="5" width="11.5703125" customWidth="1"/>
    <col min="6" max="6" width="13.42578125" customWidth="1"/>
    <col min="7" max="7" width="11.42578125" customWidth="1"/>
    <col min="8" max="8" width="12.140625" customWidth="1"/>
    <col min="9" max="9" width="11.5703125" customWidth="1"/>
    <col min="10" max="10" width="11.85546875" customWidth="1"/>
    <col min="11" max="13" width="13.5703125" customWidth="1"/>
    <col min="14" max="14" width="12.140625" customWidth="1"/>
  </cols>
  <sheetData>
    <row r="1" spans="2:8" ht="21" x14ac:dyDescent="0.35">
      <c r="B1" s="34" t="s">
        <v>102</v>
      </c>
      <c r="C1" s="13"/>
      <c r="D1" s="25"/>
      <c r="E1" s="13"/>
      <c r="F1" s="13"/>
      <c r="G1" s="13"/>
    </row>
    <row r="2" spans="2:8" ht="16.5" thickBot="1" x14ac:dyDescent="0.3">
      <c r="B2" s="10" t="s">
        <v>97</v>
      </c>
      <c r="C2" s="13"/>
      <c r="D2" s="26"/>
      <c r="E2" s="13"/>
      <c r="F2" s="13"/>
      <c r="G2" s="13"/>
    </row>
    <row r="3" spans="2:8" ht="27" customHeight="1" thickTop="1" x14ac:dyDescent="0.25">
      <c r="B3" s="14"/>
      <c r="C3" s="40" t="s">
        <v>106</v>
      </c>
      <c r="D3" s="41"/>
      <c r="E3" s="41"/>
      <c r="F3" s="41"/>
      <c r="G3" s="41"/>
      <c r="H3" s="42"/>
    </row>
    <row r="4" spans="2:8" ht="45" customHeight="1" thickBot="1" x14ac:dyDescent="0.3">
      <c r="B4" s="7" t="s">
        <v>96</v>
      </c>
      <c r="C4" s="27" t="s">
        <v>64</v>
      </c>
      <c r="D4" s="28" t="s">
        <v>65</v>
      </c>
      <c r="E4" s="28" t="s">
        <v>70</v>
      </c>
      <c r="F4" s="28" t="s">
        <v>71</v>
      </c>
      <c r="G4" s="28" t="s">
        <v>66</v>
      </c>
      <c r="H4" s="29" t="s">
        <v>63</v>
      </c>
    </row>
    <row r="5" spans="2:8" x14ac:dyDescent="0.25">
      <c r="B5" s="9" t="s">
        <v>94</v>
      </c>
      <c r="C5" s="30">
        <v>1</v>
      </c>
      <c r="D5" s="31" t="s">
        <v>53</v>
      </c>
      <c r="E5" s="31" t="s">
        <v>53</v>
      </c>
      <c r="F5" s="31" t="s">
        <v>53</v>
      </c>
      <c r="G5" s="31" t="s">
        <v>53</v>
      </c>
      <c r="H5" s="32">
        <f t="shared" ref="H5:H45" si="0">SUM(C5:G5)</f>
        <v>1</v>
      </c>
    </row>
    <row r="6" spans="2:8" x14ac:dyDescent="0.25">
      <c r="B6" s="9" t="s">
        <v>95</v>
      </c>
      <c r="C6" s="30">
        <f>3</f>
        <v>3</v>
      </c>
      <c r="D6" s="31" t="s">
        <v>53</v>
      </c>
      <c r="E6" s="31" t="s">
        <v>53</v>
      </c>
      <c r="F6" s="31" t="s">
        <v>53</v>
      </c>
      <c r="G6" s="31" t="s">
        <v>53</v>
      </c>
      <c r="H6" s="32">
        <f t="shared" si="0"/>
        <v>3</v>
      </c>
    </row>
    <row r="7" spans="2:8" x14ac:dyDescent="0.25">
      <c r="B7" s="8" t="s">
        <v>16</v>
      </c>
      <c r="C7" s="30">
        <v>50</v>
      </c>
      <c r="D7" s="31" t="s">
        <v>53</v>
      </c>
      <c r="E7" s="31" t="s">
        <v>53</v>
      </c>
      <c r="F7" s="31" t="s">
        <v>53</v>
      </c>
      <c r="G7" s="31">
        <v>95</v>
      </c>
      <c r="H7" s="32">
        <f t="shared" si="0"/>
        <v>145</v>
      </c>
    </row>
    <row r="8" spans="2:8" x14ac:dyDescent="0.25">
      <c r="B8" s="9" t="s">
        <v>91</v>
      </c>
      <c r="C8" s="30">
        <v>2</v>
      </c>
      <c r="D8" s="31" t="s">
        <v>53</v>
      </c>
      <c r="E8" s="31" t="s">
        <v>53</v>
      </c>
      <c r="F8" s="31" t="s">
        <v>53</v>
      </c>
      <c r="G8" s="31" t="s">
        <v>53</v>
      </c>
      <c r="H8" s="32">
        <f t="shared" si="0"/>
        <v>2</v>
      </c>
    </row>
    <row r="9" spans="2:8" x14ac:dyDescent="0.25">
      <c r="B9" s="8" t="s">
        <v>56</v>
      </c>
      <c r="C9" s="30">
        <f>3142</f>
        <v>3142</v>
      </c>
      <c r="D9" s="31">
        <f>39+96</f>
        <v>135</v>
      </c>
      <c r="E9" s="31">
        <f>21+10</f>
        <v>31</v>
      </c>
      <c r="F9" s="31" t="s">
        <v>53</v>
      </c>
      <c r="G9" s="31">
        <v>18</v>
      </c>
      <c r="H9" s="32">
        <f t="shared" si="0"/>
        <v>3326</v>
      </c>
    </row>
    <row r="10" spans="2:8" ht="14.25" customHeight="1" x14ac:dyDescent="0.25">
      <c r="B10" s="8" t="s">
        <v>1</v>
      </c>
      <c r="C10" s="30">
        <f>12-11</f>
        <v>1</v>
      </c>
      <c r="D10" s="31" t="s">
        <v>53</v>
      </c>
      <c r="E10" s="31" t="s">
        <v>53</v>
      </c>
      <c r="F10" s="31" t="s">
        <v>53</v>
      </c>
      <c r="G10" s="31" t="s">
        <v>53</v>
      </c>
      <c r="H10" s="32">
        <f t="shared" si="0"/>
        <v>1</v>
      </c>
    </row>
    <row r="11" spans="2:8" x14ac:dyDescent="0.25">
      <c r="B11" s="8" t="s">
        <v>69</v>
      </c>
      <c r="C11" s="30">
        <v>3</v>
      </c>
      <c r="D11" s="31" t="s">
        <v>53</v>
      </c>
      <c r="E11" s="31" t="s">
        <v>53</v>
      </c>
      <c r="F11" s="31" t="s">
        <v>53</v>
      </c>
      <c r="G11" s="31" t="s">
        <v>53</v>
      </c>
      <c r="H11" s="32">
        <f t="shared" si="0"/>
        <v>3</v>
      </c>
    </row>
    <row r="12" spans="2:8" x14ac:dyDescent="0.25">
      <c r="B12" s="8" t="s">
        <v>30</v>
      </c>
      <c r="C12" s="30">
        <f>2</f>
        <v>2</v>
      </c>
      <c r="D12" s="31" t="s">
        <v>53</v>
      </c>
      <c r="E12" s="31" t="s">
        <v>53</v>
      </c>
      <c r="F12" s="31" t="s">
        <v>53</v>
      </c>
      <c r="G12" s="31">
        <f>1</f>
        <v>1</v>
      </c>
      <c r="H12" s="32">
        <f t="shared" si="0"/>
        <v>3</v>
      </c>
    </row>
    <row r="13" spans="2:8" x14ac:dyDescent="0.25">
      <c r="B13" s="8" t="s">
        <v>12</v>
      </c>
      <c r="C13" s="30">
        <v>81</v>
      </c>
      <c r="D13" s="31">
        <v>2</v>
      </c>
      <c r="E13" s="31" t="s">
        <v>53</v>
      </c>
      <c r="F13" s="31" t="s">
        <v>53</v>
      </c>
      <c r="G13" s="31">
        <v>5</v>
      </c>
      <c r="H13" s="32">
        <f t="shared" si="0"/>
        <v>88</v>
      </c>
    </row>
    <row r="14" spans="2:8" x14ac:dyDescent="0.25">
      <c r="B14" s="8" t="s">
        <v>13</v>
      </c>
      <c r="C14" s="30">
        <f>3</f>
        <v>3</v>
      </c>
      <c r="D14" s="31">
        <v>0</v>
      </c>
      <c r="E14" s="31" t="s">
        <v>53</v>
      </c>
      <c r="F14" s="31" t="s">
        <v>53</v>
      </c>
      <c r="G14" s="31" t="s">
        <v>53</v>
      </c>
      <c r="H14" s="32">
        <f t="shared" si="0"/>
        <v>3</v>
      </c>
    </row>
    <row r="15" spans="2:8" x14ac:dyDescent="0.25">
      <c r="B15" s="8" t="s">
        <v>37</v>
      </c>
      <c r="C15" s="30">
        <f>151</f>
        <v>151</v>
      </c>
      <c r="D15" s="31" t="s">
        <v>53</v>
      </c>
      <c r="E15" s="31" t="s">
        <v>53</v>
      </c>
      <c r="F15" s="31" t="s">
        <v>53</v>
      </c>
      <c r="G15" s="31">
        <v>4</v>
      </c>
      <c r="H15" s="32">
        <f t="shared" si="0"/>
        <v>155</v>
      </c>
    </row>
    <row r="16" spans="2:8" x14ac:dyDescent="0.25">
      <c r="B16" s="8" t="s">
        <v>62</v>
      </c>
      <c r="C16" s="30">
        <v>2</v>
      </c>
      <c r="D16" s="31" t="s">
        <v>53</v>
      </c>
      <c r="E16" s="31" t="s">
        <v>53</v>
      </c>
      <c r="F16" s="31" t="s">
        <v>53</v>
      </c>
      <c r="G16" s="31">
        <v>0</v>
      </c>
      <c r="H16" s="32">
        <f t="shared" si="0"/>
        <v>2</v>
      </c>
    </row>
    <row r="17" spans="2:8" x14ac:dyDescent="0.25">
      <c r="B17" s="8" t="s">
        <v>34</v>
      </c>
      <c r="C17" s="30">
        <f>1840</f>
        <v>1840</v>
      </c>
      <c r="D17" s="31">
        <v>2</v>
      </c>
      <c r="E17" s="31">
        <v>6</v>
      </c>
      <c r="F17" s="31" t="s">
        <v>53</v>
      </c>
      <c r="G17" s="31">
        <v>10</v>
      </c>
      <c r="H17" s="32">
        <f t="shared" si="0"/>
        <v>1858</v>
      </c>
    </row>
    <row r="18" spans="2:8" x14ac:dyDescent="0.25">
      <c r="B18" s="8" t="s">
        <v>99</v>
      </c>
      <c r="C18" s="30">
        <f>1</f>
        <v>1</v>
      </c>
      <c r="D18" s="31" t="s">
        <v>53</v>
      </c>
      <c r="E18" s="31">
        <v>0</v>
      </c>
      <c r="F18" s="31" t="s">
        <v>53</v>
      </c>
      <c r="G18" s="31" t="s">
        <v>53</v>
      </c>
      <c r="H18" s="32">
        <f t="shared" si="0"/>
        <v>1</v>
      </c>
    </row>
    <row r="19" spans="2:8" x14ac:dyDescent="0.25">
      <c r="B19" s="8" t="s">
        <v>33</v>
      </c>
      <c r="C19" s="30">
        <f>382</f>
        <v>382</v>
      </c>
      <c r="D19" s="31" t="s">
        <v>53</v>
      </c>
      <c r="E19" s="31">
        <v>1</v>
      </c>
      <c r="F19" s="31" t="s">
        <v>53</v>
      </c>
      <c r="G19" s="31">
        <v>163</v>
      </c>
      <c r="H19" s="32">
        <f t="shared" si="0"/>
        <v>546</v>
      </c>
    </row>
    <row r="20" spans="2:8" x14ac:dyDescent="0.25">
      <c r="B20" s="8" t="s">
        <v>44</v>
      </c>
      <c r="C20" s="30">
        <f>2</f>
        <v>2</v>
      </c>
      <c r="D20" s="31" t="s">
        <v>53</v>
      </c>
      <c r="E20" s="31" t="s">
        <v>53</v>
      </c>
      <c r="F20" s="31" t="s">
        <v>53</v>
      </c>
      <c r="G20" s="31" t="s">
        <v>53</v>
      </c>
      <c r="H20" s="32">
        <f t="shared" si="0"/>
        <v>2</v>
      </c>
    </row>
    <row r="21" spans="2:8" x14ac:dyDescent="0.25">
      <c r="B21" s="8" t="s">
        <v>43</v>
      </c>
      <c r="C21" s="30">
        <f>1</f>
        <v>1</v>
      </c>
      <c r="D21" s="31" t="s">
        <v>53</v>
      </c>
      <c r="E21" s="31" t="s">
        <v>53</v>
      </c>
      <c r="F21" s="31" t="s">
        <v>53</v>
      </c>
      <c r="G21" s="31" t="s">
        <v>53</v>
      </c>
      <c r="H21" s="32">
        <f t="shared" si="0"/>
        <v>1</v>
      </c>
    </row>
    <row r="22" spans="2:8" x14ac:dyDescent="0.25">
      <c r="B22" s="8" t="s">
        <v>47</v>
      </c>
      <c r="C22" s="30">
        <v>2</v>
      </c>
      <c r="D22" s="31" t="s">
        <v>53</v>
      </c>
      <c r="E22" s="31" t="s">
        <v>53</v>
      </c>
      <c r="F22" s="31" t="s">
        <v>53</v>
      </c>
      <c r="G22" s="31" t="s">
        <v>53</v>
      </c>
      <c r="H22" s="32">
        <f t="shared" si="0"/>
        <v>2</v>
      </c>
    </row>
    <row r="23" spans="2:8" x14ac:dyDescent="0.25">
      <c r="B23" s="8" t="s">
        <v>86</v>
      </c>
      <c r="C23" s="30">
        <f>2</f>
        <v>2</v>
      </c>
      <c r="D23" s="31" t="s">
        <v>53</v>
      </c>
      <c r="E23" s="31" t="s">
        <v>53</v>
      </c>
      <c r="F23" s="31" t="s">
        <v>53</v>
      </c>
      <c r="G23" s="31" t="s">
        <v>53</v>
      </c>
      <c r="H23" s="32">
        <f t="shared" si="0"/>
        <v>2</v>
      </c>
    </row>
    <row r="24" spans="2:8" x14ac:dyDescent="0.25">
      <c r="B24" s="8" t="s">
        <v>42</v>
      </c>
      <c r="C24" s="30" t="s">
        <v>53</v>
      </c>
      <c r="D24" s="31" t="s">
        <v>53</v>
      </c>
      <c r="E24" s="31" t="s">
        <v>53</v>
      </c>
      <c r="F24" s="31" t="s">
        <v>53</v>
      </c>
      <c r="G24" s="31">
        <f>1</f>
        <v>1</v>
      </c>
      <c r="H24" s="32">
        <f t="shared" si="0"/>
        <v>1</v>
      </c>
    </row>
    <row r="25" spans="2:8" x14ac:dyDescent="0.25">
      <c r="B25" s="8" t="s">
        <v>45</v>
      </c>
      <c r="C25" s="30">
        <v>9</v>
      </c>
      <c r="D25" s="31" t="s">
        <v>53</v>
      </c>
      <c r="E25" s="31" t="s">
        <v>53</v>
      </c>
      <c r="F25" s="31" t="s">
        <v>53</v>
      </c>
      <c r="G25" s="31" t="s">
        <v>53</v>
      </c>
      <c r="H25" s="32">
        <f t="shared" si="0"/>
        <v>9</v>
      </c>
    </row>
    <row r="26" spans="2:8" x14ac:dyDescent="0.25">
      <c r="B26" s="8" t="s">
        <v>87</v>
      </c>
      <c r="C26" s="30">
        <f>1</f>
        <v>1</v>
      </c>
      <c r="D26" s="31" t="s">
        <v>53</v>
      </c>
      <c r="E26" s="31" t="s">
        <v>53</v>
      </c>
      <c r="F26" s="31" t="s">
        <v>53</v>
      </c>
      <c r="G26" s="31" t="s">
        <v>53</v>
      </c>
      <c r="H26" s="32">
        <f t="shared" si="0"/>
        <v>1</v>
      </c>
    </row>
    <row r="27" spans="2:8" x14ac:dyDescent="0.25">
      <c r="B27" s="8" t="s">
        <v>21</v>
      </c>
      <c r="C27" s="30">
        <f>4</f>
        <v>4</v>
      </c>
      <c r="D27" s="31" t="s">
        <v>53</v>
      </c>
      <c r="E27" s="31" t="s">
        <v>53</v>
      </c>
      <c r="F27" s="31" t="s">
        <v>53</v>
      </c>
      <c r="G27" s="31" t="s">
        <v>53</v>
      </c>
      <c r="H27" s="32">
        <f t="shared" si="0"/>
        <v>4</v>
      </c>
    </row>
    <row r="28" spans="2:8" x14ac:dyDescent="0.25">
      <c r="B28" s="8" t="s">
        <v>2</v>
      </c>
      <c r="C28" s="30">
        <v>3</v>
      </c>
      <c r="D28" s="31" t="s">
        <v>53</v>
      </c>
      <c r="E28" s="31" t="s">
        <v>53</v>
      </c>
      <c r="F28" s="31" t="s">
        <v>53</v>
      </c>
      <c r="G28" s="31">
        <v>18</v>
      </c>
      <c r="H28" s="32">
        <f t="shared" si="0"/>
        <v>21</v>
      </c>
    </row>
    <row r="29" spans="2:8" x14ac:dyDescent="0.25">
      <c r="B29" s="8" t="s">
        <v>38</v>
      </c>
      <c r="C29" s="30">
        <f>1127</f>
        <v>1127</v>
      </c>
      <c r="D29" s="31">
        <f>1946</f>
        <v>1946</v>
      </c>
      <c r="E29" s="31">
        <f>2787</f>
        <v>2787</v>
      </c>
      <c r="F29" s="31" t="s">
        <v>53</v>
      </c>
      <c r="G29" s="31">
        <f>116</f>
        <v>116</v>
      </c>
      <c r="H29" s="32">
        <f t="shared" si="0"/>
        <v>5976</v>
      </c>
    </row>
    <row r="30" spans="2:8" x14ac:dyDescent="0.25">
      <c r="B30" s="8" t="s">
        <v>26</v>
      </c>
      <c r="C30" s="30">
        <f>2</f>
        <v>2</v>
      </c>
      <c r="D30" s="31" t="s">
        <v>53</v>
      </c>
      <c r="E30" s="31" t="s">
        <v>53</v>
      </c>
      <c r="F30" s="31" t="s">
        <v>53</v>
      </c>
      <c r="G30" s="31" t="s">
        <v>53</v>
      </c>
      <c r="H30" s="32">
        <f t="shared" si="0"/>
        <v>2</v>
      </c>
    </row>
    <row r="31" spans="2:8" x14ac:dyDescent="0.25">
      <c r="B31" s="8" t="s">
        <v>61</v>
      </c>
      <c r="C31" s="30">
        <v>234</v>
      </c>
      <c r="D31" s="31">
        <f>5</f>
        <v>5</v>
      </c>
      <c r="E31" s="31">
        <v>13</v>
      </c>
      <c r="F31" s="31" t="s">
        <v>53</v>
      </c>
      <c r="G31" s="31">
        <f>19</f>
        <v>19</v>
      </c>
      <c r="H31" s="32">
        <f t="shared" si="0"/>
        <v>271</v>
      </c>
    </row>
    <row r="32" spans="2:8" x14ac:dyDescent="0.25">
      <c r="B32" s="8" t="s">
        <v>9</v>
      </c>
      <c r="C32" s="30">
        <f>1834</f>
        <v>1834</v>
      </c>
      <c r="D32" s="31">
        <f>877</f>
        <v>877</v>
      </c>
      <c r="E32" s="31">
        <f>3</f>
        <v>3</v>
      </c>
      <c r="F32" s="31" t="s">
        <v>53</v>
      </c>
      <c r="G32" s="31">
        <f>135</f>
        <v>135</v>
      </c>
      <c r="H32" s="32">
        <f t="shared" si="0"/>
        <v>2849</v>
      </c>
    </row>
    <row r="33" spans="2:8" x14ac:dyDescent="0.25">
      <c r="B33" s="8" t="s">
        <v>11</v>
      </c>
      <c r="C33" s="30">
        <v>194</v>
      </c>
      <c r="D33" s="31">
        <v>79</v>
      </c>
      <c r="E33" s="31" t="s">
        <v>53</v>
      </c>
      <c r="F33" s="31" t="s">
        <v>53</v>
      </c>
      <c r="G33" s="31">
        <v>21</v>
      </c>
      <c r="H33" s="32">
        <f t="shared" si="0"/>
        <v>294</v>
      </c>
    </row>
    <row r="34" spans="2:8" x14ac:dyDescent="0.25">
      <c r="B34" s="8" t="s">
        <v>10</v>
      </c>
      <c r="C34" s="30">
        <v>16</v>
      </c>
      <c r="D34" s="31" t="s">
        <v>53</v>
      </c>
      <c r="E34" s="31" t="s">
        <v>53</v>
      </c>
      <c r="F34" s="31" t="s">
        <v>53</v>
      </c>
      <c r="G34" s="31">
        <v>0</v>
      </c>
      <c r="H34" s="32">
        <f t="shared" si="0"/>
        <v>16</v>
      </c>
    </row>
    <row r="35" spans="2:8" x14ac:dyDescent="0.25">
      <c r="B35" s="8" t="s">
        <v>58</v>
      </c>
      <c r="C35" s="30">
        <f>2</f>
        <v>2</v>
      </c>
      <c r="D35" s="31" t="s">
        <v>53</v>
      </c>
      <c r="E35" s="31">
        <f>1</f>
        <v>1</v>
      </c>
      <c r="F35" s="31" t="s">
        <v>53</v>
      </c>
      <c r="G35" s="31">
        <v>2</v>
      </c>
      <c r="H35" s="32">
        <f t="shared" si="0"/>
        <v>5</v>
      </c>
    </row>
    <row r="36" spans="2:8" x14ac:dyDescent="0.25">
      <c r="B36" s="8" t="s">
        <v>39</v>
      </c>
      <c r="C36" s="30">
        <f>41</f>
        <v>41</v>
      </c>
      <c r="D36" s="31">
        <f>8888</f>
        <v>8888</v>
      </c>
      <c r="E36" s="31">
        <v>7</v>
      </c>
      <c r="F36" s="31" t="s">
        <v>53</v>
      </c>
      <c r="G36" s="31">
        <f>1305</f>
        <v>1305</v>
      </c>
      <c r="H36" s="32">
        <f t="shared" si="0"/>
        <v>10241</v>
      </c>
    </row>
    <row r="37" spans="2:8" x14ac:dyDescent="0.25">
      <c r="B37" s="8" t="s">
        <v>18</v>
      </c>
      <c r="C37" s="30">
        <v>4</v>
      </c>
      <c r="D37" s="31" t="s">
        <v>53</v>
      </c>
      <c r="E37" s="31" t="s">
        <v>53</v>
      </c>
      <c r="F37" s="31" t="s">
        <v>53</v>
      </c>
      <c r="G37" s="31" t="s">
        <v>53</v>
      </c>
      <c r="H37" s="32">
        <f t="shared" si="0"/>
        <v>4</v>
      </c>
    </row>
    <row r="38" spans="2:8" x14ac:dyDescent="0.25">
      <c r="B38" s="8" t="s">
        <v>15</v>
      </c>
      <c r="C38" s="30">
        <f>37</f>
        <v>37</v>
      </c>
      <c r="D38" s="31" t="s">
        <v>53</v>
      </c>
      <c r="E38" s="31" t="s">
        <v>53</v>
      </c>
      <c r="F38" s="31" t="s">
        <v>53</v>
      </c>
      <c r="G38" s="31">
        <f>1</f>
        <v>1</v>
      </c>
      <c r="H38" s="32">
        <f t="shared" si="0"/>
        <v>38</v>
      </c>
    </row>
    <row r="39" spans="2:8" x14ac:dyDescent="0.25">
      <c r="B39" s="8" t="s">
        <v>27</v>
      </c>
      <c r="C39" s="30">
        <v>2</v>
      </c>
      <c r="D39" s="31" t="s">
        <v>53</v>
      </c>
      <c r="E39" s="31" t="s">
        <v>53</v>
      </c>
      <c r="F39" s="31" t="s">
        <v>53</v>
      </c>
      <c r="G39" s="31" t="s">
        <v>53</v>
      </c>
      <c r="H39" s="32">
        <f t="shared" si="0"/>
        <v>2</v>
      </c>
    </row>
    <row r="40" spans="2:8" x14ac:dyDescent="0.25">
      <c r="B40" s="8" t="s">
        <v>35</v>
      </c>
      <c r="C40" s="30">
        <v>3</v>
      </c>
      <c r="D40" s="31">
        <f>11</f>
        <v>11</v>
      </c>
      <c r="E40" s="31">
        <f>63</f>
        <v>63</v>
      </c>
      <c r="F40" s="31" t="s">
        <v>53</v>
      </c>
      <c r="G40" s="31">
        <f>21</f>
        <v>21</v>
      </c>
      <c r="H40" s="32">
        <f t="shared" si="0"/>
        <v>98</v>
      </c>
    </row>
    <row r="41" spans="2:8" x14ac:dyDescent="0.25">
      <c r="B41" s="8" t="s">
        <v>59</v>
      </c>
      <c r="C41" s="30">
        <f>267</f>
        <v>267</v>
      </c>
      <c r="D41" s="31">
        <v>51</v>
      </c>
      <c r="E41" s="31">
        <f>7</f>
        <v>7</v>
      </c>
      <c r="F41" s="31" t="s">
        <v>53</v>
      </c>
      <c r="G41" s="31">
        <f>72</f>
        <v>72</v>
      </c>
      <c r="H41" s="32">
        <f t="shared" si="0"/>
        <v>397</v>
      </c>
    </row>
    <row r="42" spans="2:8" x14ac:dyDescent="0.25">
      <c r="B42" s="8" t="s">
        <v>36</v>
      </c>
      <c r="C42" s="30">
        <v>2</v>
      </c>
      <c r="D42" s="31" t="s">
        <v>53</v>
      </c>
      <c r="E42" s="31">
        <f>40</f>
        <v>40</v>
      </c>
      <c r="F42" s="31" t="s">
        <v>53</v>
      </c>
      <c r="G42" s="31">
        <v>21</v>
      </c>
      <c r="H42" s="32">
        <f t="shared" si="0"/>
        <v>63</v>
      </c>
    </row>
    <row r="43" spans="2:8" x14ac:dyDescent="0.25">
      <c r="B43" s="11" t="s">
        <v>68</v>
      </c>
      <c r="C43" s="30">
        <f>3</f>
        <v>3</v>
      </c>
      <c r="D43" s="31" t="s">
        <v>53</v>
      </c>
      <c r="E43" s="31" t="s">
        <v>53</v>
      </c>
      <c r="F43" s="31" t="s">
        <v>53</v>
      </c>
      <c r="G43" s="31">
        <f>5</f>
        <v>5</v>
      </c>
      <c r="H43" s="32">
        <f t="shared" si="0"/>
        <v>8</v>
      </c>
    </row>
    <row r="44" spans="2:8" x14ac:dyDescent="0.25">
      <c r="B44" s="11" t="s">
        <v>6</v>
      </c>
      <c r="C44" s="30">
        <f>9</f>
        <v>9</v>
      </c>
      <c r="D44" s="31" t="s">
        <v>53</v>
      </c>
      <c r="E44" s="31" t="s">
        <v>53</v>
      </c>
      <c r="F44" s="31" t="s">
        <v>53</v>
      </c>
      <c r="G44" s="31" t="s">
        <v>53</v>
      </c>
      <c r="H44" s="32">
        <f t="shared" si="0"/>
        <v>9</v>
      </c>
    </row>
    <row r="45" spans="2:8" x14ac:dyDescent="0.25">
      <c r="B45" s="11" t="s">
        <v>5</v>
      </c>
      <c r="C45" s="30">
        <f>682</f>
        <v>682</v>
      </c>
      <c r="D45" s="31" t="s">
        <v>53</v>
      </c>
      <c r="E45" s="31">
        <f>23</f>
        <v>23</v>
      </c>
      <c r="F45" s="31" t="s">
        <v>53</v>
      </c>
      <c r="G45" s="31" t="s">
        <v>53</v>
      </c>
      <c r="H45" s="32">
        <f t="shared" si="0"/>
        <v>705</v>
      </c>
    </row>
    <row r="46" spans="2:8" x14ac:dyDescent="0.25">
      <c r="B46" s="11" t="s">
        <v>103</v>
      </c>
      <c r="C46" s="30">
        <v>2</v>
      </c>
      <c r="D46" s="31" t="s">
        <v>53</v>
      </c>
      <c r="E46" s="31" t="s">
        <v>53</v>
      </c>
      <c r="F46" s="31" t="s">
        <v>53</v>
      </c>
      <c r="G46" s="31" t="s">
        <v>53</v>
      </c>
      <c r="H46" s="32">
        <f t="shared" ref="H46:H74" si="1">SUM(C46:G46)</f>
        <v>2</v>
      </c>
    </row>
    <row r="47" spans="2:8" x14ac:dyDescent="0.25">
      <c r="B47" s="11" t="s">
        <v>67</v>
      </c>
      <c r="C47" s="30">
        <v>2</v>
      </c>
      <c r="D47" s="31" t="s">
        <v>53</v>
      </c>
      <c r="E47" s="31" t="s">
        <v>53</v>
      </c>
      <c r="F47" s="31" t="s">
        <v>53</v>
      </c>
      <c r="G47" s="31" t="s">
        <v>53</v>
      </c>
      <c r="H47" s="32">
        <f t="shared" si="1"/>
        <v>2</v>
      </c>
    </row>
    <row r="48" spans="2:8" x14ac:dyDescent="0.25">
      <c r="B48" s="11" t="s">
        <v>3</v>
      </c>
      <c r="C48" s="30">
        <f>503</f>
        <v>503</v>
      </c>
      <c r="D48" s="31" t="s">
        <v>53</v>
      </c>
      <c r="E48" s="31" t="s">
        <v>53</v>
      </c>
      <c r="F48" s="31" t="s">
        <v>53</v>
      </c>
      <c r="G48" s="31" t="s">
        <v>53</v>
      </c>
      <c r="H48" s="32">
        <f t="shared" si="1"/>
        <v>503</v>
      </c>
    </row>
    <row r="49" spans="2:8" x14ac:dyDescent="0.25">
      <c r="B49" s="11" t="s">
        <v>4</v>
      </c>
      <c r="C49" s="30">
        <f>398</f>
        <v>398</v>
      </c>
      <c r="D49" s="31" t="s">
        <v>53</v>
      </c>
      <c r="E49" s="31" t="s">
        <v>53</v>
      </c>
      <c r="F49" s="31" t="s">
        <v>53</v>
      </c>
      <c r="G49" s="31" t="s">
        <v>53</v>
      </c>
      <c r="H49" s="32">
        <f t="shared" si="1"/>
        <v>398</v>
      </c>
    </row>
    <row r="50" spans="2:8" x14ac:dyDescent="0.25">
      <c r="B50" s="8" t="s">
        <v>29</v>
      </c>
      <c r="C50" s="30" t="s">
        <v>53</v>
      </c>
      <c r="D50" s="31" t="s">
        <v>53</v>
      </c>
      <c r="E50" s="31" t="s">
        <v>53</v>
      </c>
      <c r="F50" s="31" t="s">
        <v>53</v>
      </c>
      <c r="G50" s="31">
        <f>1</f>
        <v>1</v>
      </c>
      <c r="H50" s="32">
        <f t="shared" si="1"/>
        <v>1</v>
      </c>
    </row>
    <row r="51" spans="2:8" x14ac:dyDescent="0.25">
      <c r="B51" s="8" t="s">
        <v>20</v>
      </c>
      <c r="C51" s="30">
        <v>1</v>
      </c>
      <c r="D51" s="31" t="s">
        <v>53</v>
      </c>
      <c r="E51" s="31" t="s">
        <v>53</v>
      </c>
      <c r="F51" s="31" t="s">
        <v>53</v>
      </c>
      <c r="G51" s="31" t="s">
        <v>53</v>
      </c>
      <c r="H51" s="32">
        <f t="shared" si="1"/>
        <v>1</v>
      </c>
    </row>
    <row r="52" spans="2:8" x14ac:dyDescent="0.25">
      <c r="B52" s="8" t="s">
        <v>100</v>
      </c>
      <c r="C52" s="30">
        <f>1</f>
        <v>1</v>
      </c>
      <c r="D52" s="31" t="s">
        <v>53</v>
      </c>
      <c r="E52" s="31" t="s">
        <v>53</v>
      </c>
      <c r="F52" s="31" t="s">
        <v>53</v>
      </c>
      <c r="G52" s="31" t="s">
        <v>53</v>
      </c>
      <c r="H52" s="32">
        <f t="shared" si="1"/>
        <v>1</v>
      </c>
    </row>
    <row r="53" spans="2:8" x14ac:dyDescent="0.25">
      <c r="B53" s="9" t="s">
        <v>92</v>
      </c>
      <c r="C53" s="30">
        <f>5982</f>
        <v>5982</v>
      </c>
      <c r="D53" s="31">
        <f>1</f>
        <v>1</v>
      </c>
      <c r="E53" s="31">
        <v>52</v>
      </c>
      <c r="F53" s="31" t="s">
        <v>53</v>
      </c>
      <c r="G53" s="31">
        <f>93</f>
        <v>93</v>
      </c>
      <c r="H53" s="32">
        <f t="shared" si="1"/>
        <v>6128</v>
      </c>
    </row>
    <row r="54" spans="2:8" x14ac:dyDescent="0.25">
      <c r="B54" s="8" t="s">
        <v>22</v>
      </c>
      <c r="C54" s="30">
        <v>110</v>
      </c>
      <c r="D54" s="31" t="s">
        <v>53</v>
      </c>
      <c r="E54" s="31" t="s">
        <v>53</v>
      </c>
      <c r="F54" s="31" t="s">
        <v>53</v>
      </c>
      <c r="G54" s="31" t="s">
        <v>53</v>
      </c>
      <c r="H54" s="32">
        <f t="shared" si="1"/>
        <v>110</v>
      </c>
    </row>
    <row r="55" spans="2:8" x14ac:dyDescent="0.25">
      <c r="B55" s="8" t="s">
        <v>41</v>
      </c>
      <c r="C55" s="30">
        <f>235</f>
        <v>235</v>
      </c>
      <c r="D55" s="31" t="s">
        <v>53</v>
      </c>
      <c r="E55" s="31" t="s">
        <v>53</v>
      </c>
      <c r="F55" s="31" t="s">
        <v>53</v>
      </c>
      <c r="G55" s="31" t="s">
        <v>53</v>
      </c>
      <c r="H55" s="32">
        <f t="shared" si="1"/>
        <v>235</v>
      </c>
    </row>
    <row r="56" spans="2:8" x14ac:dyDescent="0.25">
      <c r="B56" s="8" t="s">
        <v>28</v>
      </c>
      <c r="C56" s="30">
        <v>1</v>
      </c>
      <c r="D56" s="31" t="s">
        <v>53</v>
      </c>
      <c r="E56" s="31" t="s">
        <v>53</v>
      </c>
      <c r="F56" s="31" t="s">
        <v>53</v>
      </c>
      <c r="G56" s="31" t="s">
        <v>53</v>
      </c>
      <c r="H56" s="32">
        <f t="shared" si="1"/>
        <v>1</v>
      </c>
    </row>
    <row r="57" spans="2:8" x14ac:dyDescent="0.25">
      <c r="B57" s="8" t="s">
        <v>60</v>
      </c>
      <c r="C57" s="30">
        <f>6</f>
        <v>6</v>
      </c>
      <c r="D57" s="31" t="s">
        <v>53</v>
      </c>
      <c r="E57" s="31" t="s">
        <v>53</v>
      </c>
      <c r="F57" s="31" t="s">
        <v>53</v>
      </c>
      <c r="G57" s="31">
        <v>1</v>
      </c>
      <c r="H57" s="32">
        <f t="shared" si="1"/>
        <v>7</v>
      </c>
    </row>
    <row r="58" spans="2:8" x14ac:dyDescent="0.25">
      <c r="B58" s="8" t="s">
        <v>25</v>
      </c>
      <c r="C58" s="30">
        <f>1</f>
        <v>1</v>
      </c>
      <c r="D58" s="31" t="s">
        <v>53</v>
      </c>
      <c r="E58" s="31" t="s">
        <v>53</v>
      </c>
      <c r="F58" s="31" t="s">
        <v>53</v>
      </c>
      <c r="G58" s="31" t="s">
        <v>53</v>
      </c>
      <c r="H58" s="32">
        <f t="shared" si="1"/>
        <v>1</v>
      </c>
    </row>
    <row r="59" spans="2:8" x14ac:dyDescent="0.25">
      <c r="B59" s="8" t="s">
        <v>7</v>
      </c>
      <c r="C59" s="30">
        <v>3</v>
      </c>
      <c r="D59" s="31" t="s">
        <v>53</v>
      </c>
      <c r="E59" s="31" t="s">
        <v>53</v>
      </c>
      <c r="F59" s="31" t="s">
        <v>53</v>
      </c>
      <c r="G59" s="31" t="s">
        <v>53</v>
      </c>
      <c r="H59" s="32">
        <f t="shared" si="1"/>
        <v>3</v>
      </c>
    </row>
    <row r="60" spans="2:8" x14ac:dyDescent="0.25">
      <c r="B60" s="9" t="s">
        <v>89</v>
      </c>
      <c r="C60" s="30">
        <v>24</v>
      </c>
      <c r="D60" s="31">
        <v>20</v>
      </c>
      <c r="E60" s="31" t="s">
        <v>53</v>
      </c>
      <c r="F60" s="31" t="s">
        <v>53</v>
      </c>
      <c r="G60" s="31">
        <v>442</v>
      </c>
      <c r="H60" s="32">
        <f t="shared" si="1"/>
        <v>486</v>
      </c>
    </row>
    <row r="61" spans="2:8" x14ac:dyDescent="0.25">
      <c r="B61" s="8" t="s">
        <v>19</v>
      </c>
      <c r="C61" s="30">
        <v>2906</v>
      </c>
      <c r="D61" s="31" t="s">
        <v>53</v>
      </c>
      <c r="E61" s="31">
        <v>27</v>
      </c>
      <c r="F61" s="31" t="s">
        <v>53</v>
      </c>
      <c r="G61" s="31">
        <v>10</v>
      </c>
      <c r="H61" s="32">
        <f t="shared" si="1"/>
        <v>2943</v>
      </c>
    </row>
    <row r="62" spans="2:8" x14ac:dyDescent="0.25">
      <c r="B62" s="8" t="s">
        <v>98</v>
      </c>
      <c r="C62" s="30">
        <f>1</f>
        <v>1</v>
      </c>
      <c r="D62" s="31" t="s">
        <v>53</v>
      </c>
      <c r="E62" s="31" t="s">
        <v>53</v>
      </c>
      <c r="F62" s="31" t="s">
        <v>53</v>
      </c>
      <c r="G62" s="31" t="s">
        <v>53</v>
      </c>
      <c r="H62" s="32">
        <f t="shared" si="1"/>
        <v>1</v>
      </c>
    </row>
    <row r="63" spans="2:8" x14ac:dyDescent="0.25">
      <c r="B63" s="8" t="s">
        <v>8</v>
      </c>
      <c r="C63" s="30">
        <v>1105</v>
      </c>
      <c r="D63" s="31">
        <f>209</f>
        <v>209</v>
      </c>
      <c r="E63" s="31">
        <f>117</f>
        <v>117</v>
      </c>
      <c r="F63" s="31">
        <f>28</f>
        <v>28</v>
      </c>
      <c r="G63" s="31">
        <v>38</v>
      </c>
      <c r="H63" s="32">
        <f t="shared" si="1"/>
        <v>1497</v>
      </c>
    </row>
    <row r="64" spans="2:8" x14ac:dyDescent="0.25">
      <c r="B64" s="9" t="s">
        <v>90</v>
      </c>
      <c r="C64" s="30">
        <v>3</v>
      </c>
      <c r="D64" s="31" t="s">
        <v>53</v>
      </c>
      <c r="E64" s="31">
        <f>3</f>
        <v>3</v>
      </c>
      <c r="F64" s="31" t="s">
        <v>53</v>
      </c>
      <c r="G64" s="31" t="s">
        <v>53</v>
      </c>
      <c r="H64" s="32">
        <f t="shared" si="1"/>
        <v>6</v>
      </c>
    </row>
    <row r="65" spans="2:8" x14ac:dyDescent="0.25">
      <c r="B65" s="8" t="s">
        <v>31</v>
      </c>
      <c r="C65" s="30">
        <f>1</f>
        <v>1</v>
      </c>
      <c r="D65" s="31" t="s">
        <v>53</v>
      </c>
      <c r="E65" s="31" t="s">
        <v>53</v>
      </c>
      <c r="F65" s="31" t="s">
        <v>53</v>
      </c>
      <c r="G65" s="31">
        <f>1</f>
        <v>1</v>
      </c>
      <c r="H65" s="32">
        <f t="shared" si="1"/>
        <v>2</v>
      </c>
    </row>
    <row r="66" spans="2:8" x14ac:dyDescent="0.25">
      <c r="B66" s="8" t="s">
        <v>24</v>
      </c>
      <c r="C66" s="30">
        <f>1</f>
        <v>1</v>
      </c>
      <c r="D66" s="31" t="s">
        <v>53</v>
      </c>
      <c r="E66" s="31" t="s">
        <v>53</v>
      </c>
      <c r="F66" s="31" t="s">
        <v>53</v>
      </c>
      <c r="G66" s="31" t="s">
        <v>53</v>
      </c>
      <c r="H66" s="32">
        <f t="shared" si="1"/>
        <v>1</v>
      </c>
    </row>
    <row r="67" spans="2:8" x14ac:dyDescent="0.25">
      <c r="B67" s="8" t="s">
        <v>32</v>
      </c>
      <c r="C67" s="30">
        <f>2</f>
        <v>2</v>
      </c>
      <c r="D67" s="31" t="s">
        <v>53</v>
      </c>
      <c r="E67" s="31" t="s">
        <v>53</v>
      </c>
      <c r="F67" s="31" t="s">
        <v>53</v>
      </c>
      <c r="G67" s="31" t="s">
        <v>53</v>
      </c>
      <c r="H67" s="32">
        <f t="shared" si="1"/>
        <v>2</v>
      </c>
    </row>
    <row r="68" spans="2:8" x14ac:dyDescent="0.25">
      <c r="B68" s="8" t="s">
        <v>23</v>
      </c>
      <c r="C68" s="30">
        <f>26</f>
        <v>26</v>
      </c>
      <c r="D68" s="31" t="s">
        <v>53</v>
      </c>
      <c r="E68" s="31" t="s">
        <v>53</v>
      </c>
      <c r="F68" s="31" t="s">
        <v>53</v>
      </c>
      <c r="G68" s="31">
        <f>251</f>
        <v>251</v>
      </c>
      <c r="H68" s="32">
        <f t="shared" si="1"/>
        <v>277</v>
      </c>
    </row>
    <row r="69" spans="2:8" x14ac:dyDescent="0.25">
      <c r="B69" s="8" t="s">
        <v>17</v>
      </c>
      <c r="C69" s="30">
        <v>30</v>
      </c>
      <c r="D69" s="31" t="s">
        <v>53</v>
      </c>
      <c r="E69" s="31" t="s">
        <v>53</v>
      </c>
      <c r="F69" s="31" t="s">
        <v>53</v>
      </c>
      <c r="G69" s="31" t="s">
        <v>53</v>
      </c>
      <c r="H69" s="32">
        <f t="shared" si="1"/>
        <v>30</v>
      </c>
    </row>
    <row r="70" spans="2:8" x14ac:dyDescent="0.25">
      <c r="B70" s="8" t="s">
        <v>46</v>
      </c>
      <c r="C70" s="30">
        <f>10</f>
        <v>10</v>
      </c>
      <c r="D70" s="31" t="s">
        <v>53</v>
      </c>
      <c r="E70" s="31" t="s">
        <v>53</v>
      </c>
      <c r="F70" s="31" t="s">
        <v>53</v>
      </c>
      <c r="G70" s="31" t="s">
        <v>53</v>
      </c>
      <c r="H70" s="32">
        <f t="shared" si="1"/>
        <v>10</v>
      </c>
    </row>
    <row r="71" spans="2:8" x14ac:dyDescent="0.25">
      <c r="B71" s="8" t="s">
        <v>14</v>
      </c>
      <c r="C71" s="30">
        <f>1</f>
        <v>1</v>
      </c>
      <c r="D71" s="31" t="s">
        <v>53</v>
      </c>
      <c r="E71" s="31" t="s">
        <v>53</v>
      </c>
      <c r="F71" s="31" t="s">
        <v>53</v>
      </c>
      <c r="G71" s="31" t="s">
        <v>53</v>
      </c>
      <c r="H71" s="32">
        <f t="shared" si="1"/>
        <v>1</v>
      </c>
    </row>
    <row r="72" spans="2:8" x14ac:dyDescent="0.25">
      <c r="B72" s="8" t="s">
        <v>40</v>
      </c>
      <c r="C72" s="30">
        <f>1</f>
        <v>1</v>
      </c>
      <c r="D72" s="31" t="s">
        <v>53</v>
      </c>
      <c r="E72" s="31" t="s">
        <v>53</v>
      </c>
      <c r="F72" s="31" t="s">
        <v>53</v>
      </c>
      <c r="G72" s="31" t="s">
        <v>53</v>
      </c>
      <c r="H72" s="32">
        <f t="shared" si="1"/>
        <v>1</v>
      </c>
    </row>
    <row r="73" spans="2:8" x14ac:dyDescent="0.25">
      <c r="B73" s="8" t="s">
        <v>57</v>
      </c>
      <c r="C73" s="30">
        <f>46688+356+194+3</f>
        <v>47241</v>
      </c>
      <c r="D73" s="31">
        <v>17293</v>
      </c>
      <c r="E73" s="31">
        <f>3869+1</f>
        <v>3870</v>
      </c>
      <c r="F73" s="31">
        <f>19+18</f>
        <v>37</v>
      </c>
      <c r="G73" s="31">
        <v>1509</v>
      </c>
      <c r="H73" s="32">
        <f t="shared" si="1"/>
        <v>69950</v>
      </c>
    </row>
    <row r="74" spans="2:8" x14ac:dyDescent="0.25">
      <c r="B74" s="8" t="s">
        <v>88</v>
      </c>
      <c r="C74" s="30">
        <v>43</v>
      </c>
      <c r="D74" s="31">
        <v>63</v>
      </c>
      <c r="E74" s="31">
        <v>17</v>
      </c>
      <c r="F74" s="31" t="s">
        <v>53</v>
      </c>
      <c r="G74" s="31" t="s">
        <v>53</v>
      </c>
      <c r="H74" s="32">
        <f t="shared" si="1"/>
        <v>123</v>
      </c>
    </row>
    <row r="75" spans="2:8" ht="35.25" customHeight="1" thickBot="1" x14ac:dyDescent="0.3">
      <c r="B75" s="35" t="s">
        <v>0</v>
      </c>
      <c r="C75" s="37">
        <f t="shared" ref="C75:H75" si="2">SUM(C5:C74)</f>
        <v>68787</v>
      </c>
      <c r="D75" s="38">
        <f t="shared" si="2"/>
        <v>29582</v>
      </c>
      <c r="E75" s="38">
        <f t="shared" si="2"/>
        <v>7068</v>
      </c>
      <c r="F75" s="38">
        <f t="shared" si="2"/>
        <v>65</v>
      </c>
      <c r="G75" s="38">
        <f t="shared" si="2"/>
        <v>4379</v>
      </c>
      <c r="H75" s="39">
        <f t="shared" si="2"/>
        <v>109881</v>
      </c>
    </row>
    <row r="76" spans="2:8" ht="14.25" customHeight="1" thickTop="1" x14ac:dyDescent="0.25"/>
    <row r="88" spans="3:8" ht="15" customHeight="1" x14ac:dyDescent="0.25">
      <c r="C88" s="26"/>
      <c r="D88" s="26"/>
      <c r="E88" s="26"/>
      <c r="F88" s="26"/>
      <c r="G88" s="26"/>
      <c r="H88" s="26"/>
    </row>
    <row r="89" spans="3:8" ht="15" customHeight="1" x14ac:dyDescent="0.25">
      <c r="C89" s="36"/>
      <c r="D89" s="36"/>
      <c r="E89" s="36"/>
      <c r="F89" s="36"/>
      <c r="G89" s="36"/>
      <c r="H89" s="36"/>
    </row>
  </sheetData>
  <mergeCells count="1">
    <mergeCell ref="C3:H3"/>
  </mergeCells>
  <phoneticPr fontId="9" type="noConversion"/>
  <pageMargins left="0.45" right="0.45" top="0.25" bottom="0.5" header="0.3" footer="0.3"/>
  <pageSetup paperSize="5" scale="60" orientation="landscape" r:id="rId1"/>
  <headerFooter>
    <oddFooter>&amp;L&amp;8
&amp;Z&amp;F
&amp;Z&amp;F&amp;R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Details for Feb. 2025</vt:lpstr>
      <vt:lpstr>'Details for Feb. 2025'!Print_Area</vt:lpstr>
      <vt:lpstr>Summary!Print_Area</vt:lpstr>
      <vt:lpstr>'Details for Feb. 2025'!Print_Titles</vt:lpstr>
    </vt:vector>
  </TitlesOfParts>
  <Company>NYC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DiBenedetto Rosa</dc:creator>
  <cp:lastModifiedBy>Rosa Dibenedetto</cp:lastModifiedBy>
  <cp:lastPrinted>2023-03-10T19:30:23Z</cp:lastPrinted>
  <dcterms:created xsi:type="dcterms:W3CDTF">2015-04-16T18:15:29Z</dcterms:created>
  <dcterms:modified xsi:type="dcterms:W3CDTF">2025-03-25T23:18:24Z</dcterms:modified>
</cp:coreProperties>
</file>