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ool\RESOURCE MANAGEMENT\FY  2025 Headcount Actuals\NYC COUNCIL TERMS AND CONDITIONS\Final Sent -11-15-2024\"/>
    </mc:Choice>
  </mc:AlternateContent>
  <xr:revisionPtr revIDLastSave="0" documentId="8_{B5762600-FE7D-473C-8109-4BEC60CF92C2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Summary" sheetId="2" r:id="rId1"/>
    <sheet name="Details for Oct. 2024 (FY25)" sheetId="8" r:id="rId2"/>
  </sheets>
  <definedNames>
    <definedName name="_xlnm._FilterDatabase" localSheetId="1" hidden="1">'Details for Oct. 2024 (FY25)'!#REF!</definedName>
    <definedName name="_xlnm.Print_Area" localSheetId="1">'Details for Oct. 2024 (FY25)'!#REF!</definedName>
    <definedName name="_xlnm.Print_Area" localSheetId="0">Summary!$A$1:$R$107</definedName>
    <definedName name="_xlnm.Print_Titles" localSheetId="1">'Details for Oct. 2024 (FY25)'!$B:$B,'Details for Oct. 2024 (FY25)'!$1:$4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8" l="1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E15" i="2"/>
  <c r="E14" i="2"/>
  <c r="E13" i="2"/>
  <c r="E12" i="2"/>
  <c r="D15" i="2"/>
  <c r="D13" i="2"/>
  <c r="D12" i="2"/>
  <c r="D11" i="2"/>
  <c r="D36" i="8"/>
  <c r="H11" i="2"/>
  <c r="D16" i="8"/>
  <c r="D18" i="8"/>
  <c r="G11" i="2"/>
  <c r="H44" i="8"/>
  <c r="F44" i="8"/>
  <c r="E44" i="8"/>
  <c r="D44" i="8"/>
  <c r="I15" i="2"/>
  <c r="I13" i="2"/>
  <c r="I12" i="2"/>
  <c r="I11" i="2"/>
  <c r="F31" i="8"/>
  <c r="E57" i="8"/>
  <c r="H61" i="8"/>
  <c r="D61" i="8"/>
  <c r="H57" i="8"/>
  <c r="F57" i="8"/>
  <c r="H31" i="8"/>
  <c r="E31" i="8"/>
  <c r="D31" i="8"/>
  <c r="D57" i="8"/>
  <c r="H15" i="2"/>
  <c r="H13" i="2"/>
  <c r="H12" i="2"/>
  <c r="G79" i="8"/>
  <c r="F79" i="8"/>
  <c r="F70" i="8"/>
  <c r="F69" i="8"/>
  <c r="F68" i="8"/>
  <c r="F45" i="8"/>
  <c r="F42" i="8"/>
  <c r="F29" i="8"/>
  <c r="F9" i="8"/>
  <c r="H79" i="8"/>
  <c r="H74" i="8"/>
  <c r="H68" i="8"/>
  <c r="H65" i="8"/>
  <c r="H64" i="8"/>
  <c r="H42" i="8"/>
  <c r="H37" i="8"/>
  <c r="H33" i="8"/>
  <c r="H32" i="8"/>
  <c r="H29" i="8"/>
  <c r="H9" i="8"/>
  <c r="H7" i="8"/>
  <c r="E80" i="8"/>
  <c r="E79" i="8"/>
  <c r="E68" i="8"/>
  <c r="E64" i="8"/>
  <c r="E37" i="8"/>
  <c r="E33" i="8"/>
  <c r="E32" i="8"/>
  <c r="E29" i="8"/>
  <c r="E9" i="8"/>
  <c r="D7" i="8"/>
  <c r="D80" i="8"/>
  <c r="D75" i="8"/>
  <c r="D70" i="8"/>
  <c r="D68" i="8"/>
  <c r="D67" i="8"/>
  <c r="D65" i="8"/>
  <c r="D64" i="8"/>
  <c r="D59" i="8"/>
  <c r="D58" i="8"/>
  <c r="D56" i="8"/>
  <c r="D53" i="8"/>
  <c r="D52" i="8"/>
  <c r="D50" i="8"/>
  <c r="D42" i="8"/>
  <c r="D37" i="8"/>
  <c r="D35" i="8"/>
  <c r="D34" i="8"/>
  <c r="D33" i="8"/>
  <c r="D32" i="8"/>
  <c r="D29" i="8"/>
  <c r="D28" i="8"/>
  <c r="D19" i="8"/>
  <c r="D17" i="8"/>
  <c r="D15" i="8"/>
  <c r="D13" i="8"/>
  <c r="D9" i="8"/>
  <c r="H54" i="8"/>
  <c r="H45" i="8"/>
  <c r="E45" i="8"/>
  <c r="E42" i="8"/>
  <c r="D49" i="8"/>
  <c r="D74" i="8"/>
  <c r="D69" i="8"/>
  <c r="D39" i="8"/>
  <c r="D14" i="8"/>
  <c r="D12" i="8"/>
  <c r="D8" i="8"/>
  <c r="D6" i="8"/>
  <c r="D78" i="8" l="1"/>
  <c r="D77" i="8"/>
  <c r="D76" i="8"/>
  <c r="D73" i="8"/>
  <c r="D72" i="8"/>
  <c r="H71" i="8"/>
  <c r="D71" i="8"/>
  <c r="G68" i="8"/>
  <c r="D66" i="8"/>
  <c r="D62" i="8"/>
  <c r="F48" i="8"/>
  <c r="D47" i="8"/>
  <c r="D46" i="8"/>
  <c r="D40" i="8"/>
  <c r="H39" i="8"/>
  <c r="F32" i="8"/>
  <c r="D30" i="8"/>
  <c r="D26" i="8"/>
  <c r="H24" i="8"/>
  <c r="D23" i="8"/>
  <c r="D21" i="8"/>
  <c r="D20" i="8"/>
  <c r="F17" i="8"/>
  <c r="E17" i="8"/>
  <c r="H15" i="8"/>
  <c r="H12" i="8"/>
  <c r="D10" i="8"/>
  <c r="I5" i="8"/>
  <c r="G16" i="2"/>
  <c r="J15" i="2"/>
  <c r="D16" i="2"/>
  <c r="J14" i="2"/>
  <c r="F14" i="2"/>
  <c r="J13" i="2"/>
  <c r="F13" i="2"/>
  <c r="J12" i="2"/>
  <c r="F12" i="2"/>
  <c r="I16" i="2"/>
  <c r="E81" i="8" l="1"/>
  <c r="G81" i="8"/>
  <c r="F81" i="8"/>
  <c r="H81" i="8"/>
  <c r="D81" i="8"/>
  <c r="E16" i="2"/>
  <c r="F11" i="2"/>
  <c r="H16" i="2"/>
  <c r="J11" i="2"/>
  <c r="K12" i="2"/>
  <c r="K13" i="2"/>
  <c r="K14" i="2"/>
  <c r="F15" i="2"/>
  <c r="K15" i="2" s="1"/>
  <c r="I81" i="8" l="1"/>
  <c r="J16" i="2"/>
  <c r="K11" i="2"/>
  <c r="K16" i="2" s="1"/>
  <c r="F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DiBenedetto Rosa</author>
  </authors>
  <commentList>
    <comment ref="H10" authorId="0" shapeId="0" xr:uid="{9AA15E9C-1C66-42B8-BA74-59E3560A5CFB}">
      <text>
        <r>
          <rPr>
            <b/>
            <sz val="9"/>
            <color indexed="81"/>
            <rFont val="Tahoma"/>
            <family val="2"/>
          </rPr>
          <t>includes hourly admin.positions.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<sst xmlns="http://schemas.openxmlformats.org/spreadsheetml/2006/main" count="352" uniqueCount="115">
  <si>
    <t>Grand Total</t>
  </si>
  <si>
    <t>ASSISTANT SUPERINTENDENT</t>
  </si>
  <si>
    <t>EDUCATION ADMINISTRATOR</t>
  </si>
  <si>
    <t>PRINCIPAL - DAY HIGH SCHOOL</t>
  </si>
  <si>
    <t>PRINCIPAL - J.H.S.</t>
  </si>
  <si>
    <t>PRINCIPAL - DAY ELEMENTARY SCHOOL</t>
  </si>
  <si>
    <t>PRINCIPAL - DAY ELEMENTARY SCHOOL - TERM</t>
  </si>
  <si>
    <t>PRINCIPAL - ASSIGNED</t>
  </si>
  <si>
    <t>SCHOOL PSYCHOLOGIST - SABBATICAL LEAVE</t>
  </si>
  <si>
    <t>SCHOOL SOCIAL WORKER</t>
  </si>
  <si>
    <t>GUIDANCE COUNSELOR</t>
  </si>
  <si>
    <t>GUIDANCE COUNSELOR - SABBATICAL</t>
  </si>
  <si>
    <t>GUIDANCE COUNSELOR - BILINGUAL</t>
  </si>
  <si>
    <t>COACH - INSTRUCTIONAL</t>
  </si>
  <si>
    <t>COACH - INSTRUCTIONAL SPECIAL EDUCATION</t>
  </si>
  <si>
    <t>TEACHER - TRAINER</t>
  </si>
  <si>
    <t>LABORATORY SPECIALIST</t>
  </si>
  <si>
    <t>ADULT EDUCATION TEACHER</t>
  </si>
  <si>
    <t>SUBSTITUTE VOCATIONAL ASSISTANT</t>
  </si>
  <si>
    <t>LABORATORY ASSISTANT</t>
  </si>
  <si>
    <t>SCHOOL SECRETARY</t>
  </si>
  <si>
    <t>SCHOOL SECRETARY - TERMINAL LEAVE</t>
  </si>
  <si>
    <t>PROGRAM PRODUCER-TV/AUDIO, LEVEL 3</t>
  </si>
  <si>
    <t>DISTRICT BUSINESS MANAGER</t>
  </si>
  <si>
    <t>SCHOOL BUSINESS MANAGER</t>
  </si>
  <si>
    <t>SUBSTANCE ABUSE PREVENTION &amp; INTERV SPEC</t>
  </si>
  <si>
    <t>SENIOR SCHOOL NEIGHBORHOOD WORKER</t>
  </si>
  <si>
    <t>SCHOOL NEIGHBORHOOD WORKER</t>
  </si>
  <si>
    <t>ELEVATOR OPERATOR</t>
  </si>
  <si>
    <t>MACHINIST</t>
  </si>
  <si>
    <t>MACHINIST HELPER</t>
  </si>
  <si>
    <t>SCHOOL EQUIPMENT MAINTAINER</t>
  </si>
  <si>
    <t>PRINCIPAL ADMINISTRATIVE ASSOCIATE</t>
  </si>
  <si>
    <t>CLERICAL ASSOCIATE</t>
  </si>
  <si>
    <t>SECRETARY</t>
  </si>
  <si>
    <t>STOCKWORKER</t>
  </si>
  <si>
    <t>COMMUNITY COORDINATOR</t>
  </si>
  <si>
    <t>COMMUNITY ASSOCIATE</t>
  </si>
  <si>
    <t>OCCUPATIONAL THERAPIST (DOE)</t>
  </si>
  <si>
    <t>PHYSICAL THERAPIST (DOE)</t>
  </si>
  <si>
    <t>COMMUNITY ASSISTANT</t>
  </si>
  <si>
    <t>EDUCATIONAL PARAPROFESSIONAL(FY04+)</t>
  </si>
  <si>
    <t>IEP EDUCATIONAL PARAPROFESSIONAL(FY04+)</t>
  </si>
  <si>
    <t>TEACHER AIDE CITYWIDE (FY05+)</t>
  </si>
  <si>
    <t>SCHOOL COMPUTER TECHNOLOGY SPECIALIST</t>
  </si>
  <si>
    <t>COMPUTER PROGRAMMER ANALYST</t>
  </si>
  <si>
    <t>COMPUTER ASSOCIATE - OPERATOR</t>
  </si>
  <si>
    <t>COMPUTER AIDE</t>
  </si>
  <si>
    <t>COMPUTER SERVICE TECHNICIAN</t>
  </si>
  <si>
    <t>SUPERVISING COMPUTER SERVICE TECHNICIAN</t>
  </si>
  <si>
    <t>COMPUTER ASSOCIATE - SOFTWARE</t>
  </si>
  <si>
    <t xml:space="preserve">City Council Terms &amp; Conditions </t>
  </si>
  <si>
    <t>Per Diem</t>
  </si>
  <si>
    <t>P/T Total</t>
  </si>
  <si>
    <t>U/A 401</t>
  </si>
  <si>
    <t>U/A 403</t>
  </si>
  <si>
    <t>-</t>
  </si>
  <si>
    <t>U/A 481</t>
  </si>
  <si>
    <t>TOTAL</t>
  </si>
  <si>
    <t>ASSISTANT PRINCIPAL TITLES</t>
  </si>
  <si>
    <t xml:space="preserve">TEACHER TITLES </t>
  </si>
  <si>
    <t>HOURLY ADMIN TITLES</t>
  </si>
  <si>
    <t>PER DIEM STAFF</t>
  </si>
  <si>
    <t>SCHOOL GUARDS &amp; STUDENT AIDES-HOURLY</t>
  </si>
  <si>
    <t>FAMILY PARAS-HOURLY</t>
  </si>
  <si>
    <t>COMMUNITY ASSISTANT- part-time</t>
  </si>
  <si>
    <t>Total</t>
  </si>
  <si>
    <t xml:space="preserve"> U/A 401</t>
  </si>
  <si>
    <t xml:space="preserve"> U/A 403</t>
  </si>
  <si>
    <t xml:space="preserve"> U/A 481</t>
  </si>
  <si>
    <t>PRINCIPAL - MASTER &amp; MODEL</t>
  </si>
  <si>
    <t>PRINCIPAL - ADULT EDUCATION</t>
  </si>
  <si>
    <t>CERTIFIED IT ADMINISTRATOR (LAN/WAN)</t>
  </si>
  <si>
    <t xml:space="preserve"> U/A 407</t>
  </si>
  <si>
    <t xml:space="preserve"> U/A 409</t>
  </si>
  <si>
    <t>U/A Description</t>
  </si>
  <si>
    <t>UPK</t>
  </si>
  <si>
    <t>Gen. Ed. Instr. &amp; School Leadership</t>
  </si>
  <si>
    <t>Special Ed. Instr. &amp; School Leadership</t>
  </si>
  <si>
    <t>Categorical Programs</t>
  </si>
  <si>
    <t>Early Childhood</t>
  </si>
  <si>
    <t xml:space="preserve"> Non-Peds - o/c 001</t>
  </si>
  <si>
    <t>Peds - o/c 005</t>
  </si>
  <si>
    <t>Part Time - o/c 021</t>
  </si>
  <si>
    <t>Part -time - o/c 031</t>
  </si>
  <si>
    <t>NYC DOE</t>
  </si>
  <si>
    <t>School-based staff</t>
  </si>
  <si>
    <t>U/A 409</t>
  </si>
  <si>
    <t>U/A 407</t>
  </si>
  <si>
    <t>COMPUTER ASSOCIATE - TECH SUPPORT</t>
  </si>
  <si>
    <t>COMPUTER SPECIALIST SOFTWARE</t>
  </si>
  <si>
    <t>TEACHER ASSISTANT LEAD ED. PARA,SPECIAL ED. &amp; ESL</t>
  </si>
  <si>
    <t>SCHOOL PSYCHOLOGIST (&amp; BILINGUAL)</t>
  </si>
  <si>
    <t>SCHOOL SOCIAL WORKER SABBATICAL</t>
  </si>
  <si>
    <t xml:space="preserve">Totals may differ from Details tab due to rounding.     </t>
  </si>
  <si>
    <t>ADULT EDUCATION TEACHER - SABBATICAL</t>
  </si>
  <si>
    <t>SCHOOL AIDES -  HOURLY</t>
  </si>
  <si>
    <t>Full - time/ Total</t>
  </si>
  <si>
    <t>GUIDANCE COUNSELOR - TERMINAL LEAVE</t>
  </si>
  <si>
    <t>ADMINISTRATIVE EDUCATION ANALYST (UNION)</t>
  </si>
  <si>
    <t>ADMINISTRATIVE EDUCATION OFFICER (UNION)</t>
  </si>
  <si>
    <t>Titles</t>
  </si>
  <si>
    <t>F/T &amp; P/T Details</t>
  </si>
  <si>
    <t>SCHOOL SECRETARY SABBATICAL</t>
  </si>
  <si>
    <t>SCHOOL SOCIAL WORKER TERMINAL LEAVE</t>
  </si>
  <si>
    <t>COMMUNITY ASSOCIATE - part-time</t>
  </si>
  <si>
    <t>PSYCHOLOGIST-IN-TRAINING</t>
  </si>
  <si>
    <t>FAMIS Filled Positions - FY 2025</t>
  </si>
  <si>
    <t>Due:  November 15, 2024</t>
  </si>
  <si>
    <t>FY 2025 - November Filled Positions</t>
  </si>
  <si>
    <t>FY 2025 - October Filled Positions</t>
  </si>
  <si>
    <t>FY 2025 HEADCOUNT ACTUALS FOR CITY COUNCIL</t>
  </si>
  <si>
    <t>O TO Q GRIEVANCE SET ASIDE</t>
  </si>
  <si>
    <t>PRINCIPAL - DAY ELEMENTARY SABBATICAL</t>
  </si>
  <si>
    <t xml:space="preserve">U/A 415 excluded due to reorg.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</si>
</sst>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2EE"/>
        <bgColor indexed="64"/>
      </patternFill>
    </fill>
    <fill>
      <patternFill patternType="solid">
        <fgColor rgb="FFF9F6F5"/>
        <bgColor indexed="64"/>
      </patternFill>
    </fill>
    <fill>
      <patternFill patternType="solid">
        <fgColor rgb="FFE7FFE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C00000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C00000"/>
      </top>
      <bottom style="thick">
        <color rgb="FFC00000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0" fillId="0" borderId="0" xfId="0" applyNumberFormat="1"/>
    <xf numFmtId="0" fontId="2" fillId="0" borderId="10" xfId="0" applyFont="1" applyBorder="1" applyAlignment="1">
      <alignment wrapText="1"/>
    </xf>
    <xf numFmtId="0" fontId="0" fillId="0" borderId="11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6" fillId="0" borderId="0" xfId="0" quotePrefix="1" applyFont="1" applyAlignment="1">
      <alignment horizontal="left"/>
    </xf>
    <xf numFmtId="0" fontId="0" fillId="2" borderId="11" xfId="0" applyFill="1" applyBorder="1" applyAlignment="1">
      <alignment horizontal="left"/>
    </xf>
    <xf numFmtId="0" fontId="2" fillId="0" borderId="19" xfId="0" quotePrefix="1" applyFont="1" applyBorder="1" applyAlignment="1">
      <alignment horizontal="center" wrapText="1"/>
    </xf>
    <xf numFmtId="164" fontId="0" fillId="0" borderId="0" xfId="1" applyNumberFormat="1" applyFont="1"/>
    <xf numFmtId="0" fontId="2" fillId="0" borderId="0" xfId="0" applyFont="1"/>
    <xf numFmtId="0" fontId="0" fillId="0" borderId="23" xfId="0" applyBorder="1"/>
    <xf numFmtId="0" fontId="8" fillId="0" borderId="0" xfId="0" applyFont="1"/>
    <xf numFmtId="0" fontId="9" fillId="0" borderId="0" xfId="0" applyFont="1"/>
    <xf numFmtId="0" fontId="2" fillId="3" borderId="2" xfId="0" applyFont="1" applyFill="1" applyBorder="1"/>
    <xf numFmtId="164" fontId="2" fillId="3" borderId="2" xfId="1" quotePrefix="1" applyNumberFormat="1" applyFont="1" applyFill="1" applyBorder="1" applyAlignment="1">
      <alignment horizontal="center"/>
    </xf>
    <xf numFmtId="164" fontId="2" fillId="3" borderId="20" xfId="1" applyNumberFormat="1" applyFont="1" applyFill="1" applyBorder="1" applyAlignment="1">
      <alignment horizontal="center"/>
    </xf>
    <xf numFmtId="164" fontId="2" fillId="3" borderId="17" xfId="1" quotePrefix="1" applyNumberFormat="1" applyFont="1" applyFill="1" applyBorder="1" applyAlignment="1">
      <alignment horizontal="right"/>
    </xf>
    <xf numFmtId="164" fontId="2" fillId="3" borderId="2" xfId="1" quotePrefix="1" applyNumberFormat="1" applyFont="1" applyFill="1" applyBorder="1" applyAlignment="1">
      <alignment horizontal="right"/>
    </xf>
    <xf numFmtId="0" fontId="2" fillId="3" borderId="3" xfId="0" applyFont="1" applyFill="1" applyBorder="1"/>
    <xf numFmtId="164" fontId="2" fillId="3" borderId="3" xfId="1" applyNumberFormat="1" applyFont="1" applyFill="1" applyBorder="1" applyAlignment="1">
      <alignment horizontal="center"/>
    </xf>
    <xf numFmtId="164" fontId="2" fillId="3" borderId="21" xfId="1" applyNumberFormat="1" applyFont="1" applyFill="1" applyBorder="1" applyAlignment="1">
      <alignment horizontal="center"/>
    </xf>
    <xf numFmtId="164" fontId="2" fillId="3" borderId="18" xfId="1" applyNumberFormat="1" applyFont="1" applyFill="1" applyBorder="1" applyAlignment="1">
      <alignment horizontal="center"/>
    </xf>
    <xf numFmtId="0" fontId="7" fillId="0" borderId="0" xfId="0" applyFont="1"/>
    <xf numFmtId="164" fontId="0" fillId="4" borderId="0" xfId="1" applyNumberFormat="1" applyFont="1" applyFill="1"/>
    <xf numFmtId="0" fontId="0" fillId="4" borderId="0" xfId="0" applyFill="1"/>
    <xf numFmtId="0" fontId="0" fillId="0" borderId="0" xfId="1" applyNumberFormat="1" applyFont="1"/>
    <xf numFmtId="164" fontId="2" fillId="5" borderId="9" xfId="1" applyNumberFormat="1" applyFont="1" applyFill="1" applyBorder="1" applyAlignment="1">
      <alignment horizontal="center" wrapText="1"/>
    </xf>
    <xf numFmtId="164" fontId="2" fillId="5" borderId="4" xfId="1" applyNumberFormat="1" applyFont="1" applyFill="1" applyBorder="1" applyAlignment="1">
      <alignment horizontal="center" wrapText="1"/>
    </xf>
    <xf numFmtId="164" fontId="2" fillId="5" borderId="5" xfId="1" applyNumberFormat="1" applyFont="1" applyFill="1" applyBorder="1" applyAlignment="1">
      <alignment horizontal="center" wrapText="1"/>
    </xf>
    <xf numFmtId="164" fontId="1" fillId="5" borderId="6" xfId="1" quotePrefix="1" applyNumberFormat="1" applyFont="1" applyFill="1" applyBorder="1" applyAlignment="1">
      <alignment horizontal="center"/>
    </xf>
    <xf numFmtId="164" fontId="1" fillId="5" borderId="7" xfId="1" quotePrefix="1" applyNumberFormat="1" applyFont="1" applyFill="1" applyBorder="1" applyAlignment="1">
      <alignment horizontal="center"/>
    </xf>
    <xf numFmtId="164" fontId="1" fillId="5" borderId="8" xfId="1" applyNumberFormat="1" applyFont="1" applyFill="1" applyBorder="1" applyAlignment="1">
      <alignment horizontal="center"/>
    </xf>
    <xf numFmtId="164" fontId="2" fillId="5" borderId="22" xfId="1" quotePrefix="1" applyNumberFormat="1" applyFont="1" applyFill="1" applyBorder="1" applyAlignment="1">
      <alignment horizontal="center"/>
    </xf>
    <xf numFmtId="164" fontId="2" fillId="5" borderId="16" xfId="1" applyNumberFormat="1" applyFont="1" applyFill="1" applyBorder="1" applyAlignment="1">
      <alignment horizontal="center"/>
    </xf>
    <xf numFmtId="164" fontId="2" fillId="5" borderId="24" xfId="1" applyNumberFormat="1" applyFont="1" applyFill="1" applyBorder="1" applyAlignment="1">
      <alignment horizontal="center"/>
    </xf>
    <xf numFmtId="164" fontId="10" fillId="0" borderId="0" xfId="1" applyNumberFormat="1" applyFont="1"/>
    <xf numFmtId="164" fontId="1" fillId="0" borderId="0" xfId="1" applyNumberFormat="1" applyFont="1"/>
    <xf numFmtId="164" fontId="1" fillId="4" borderId="0" xfId="1" applyNumberFormat="1" applyFont="1" applyFill="1"/>
    <xf numFmtId="0" fontId="7" fillId="0" borderId="0" xfId="0" quotePrefix="1" applyFont="1" applyAlignment="1">
      <alignment horizontal="center"/>
    </xf>
    <xf numFmtId="165" fontId="0" fillId="0" borderId="0" xfId="1" applyNumberFormat="1" applyFont="1"/>
    <xf numFmtId="165" fontId="1" fillId="0" borderId="0" xfId="1" applyNumberFormat="1" applyFont="1" applyFill="1"/>
    <xf numFmtId="165" fontId="0" fillId="0" borderId="0" xfId="1" applyNumberFormat="1" applyFont="1" applyFill="1"/>
    <xf numFmtId="165" fontId="1" fillId="0" borderId="0" xfId="1" applyNumberFormat="1" applyFont="1"/>
    <xf numFmtId="0" fontId="2" fillId="5" borderId="12" xfId="0" quotePrefix="1" applyFont="1" applyFill="1" applyBorder="1" applyAlignment="1">
      <alignment horizontal="center"/>
    </xf>
    <xf numFmtId="0" fontId="2" fillId="5" borderId="13" xfId="0" quotePrefix="1" applyFont="1" applyFill="1" applyBorder="1" applyAlignment="1">
      <alignment horizontal="center"/>
    </xf>
    <xf numFmtId="0" fontId="2" fillId="5" borderId="14" xfId="0" quotePrefix="1" applyFont="1" applyFill="1" applyBorder="1" applyAlignment="1">
      <alignment horizontal="center"/>
    </xf>
    <xf numFmtId="0" fontId="12" fillId="0" borderId="0" xfId="0" quotePrefix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66"/>
      <color rgb="FFE7FFEA"/>
      <color rgb="FFF9F6F5"/>
      <color rgb="FFDAE2DA"/>
      <color rgb="FFEDECF4"/>
      <color rgb="FFEFF2EE"/>
      <color rgb="FFEEEFED"/>
      <color rgb="FFEDF3ED"/>
      <color rgb="FFFCF6F6"/>
      <color rgb="FFF6F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795618</xdr:colOff>
      <xdr:row>0</xdr:row>
      <xdr:rowOff>181127</xdr:rowOff>
    </xdr:from>
    <xdr:ext cx="4583205" cy="79378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55559" y="181127"/>
          <a:ext cx="4583205" cy="79378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8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</a:t>
          </a:r>
          <a:r>
            <a:rPr lang="en-US" sz="1800" b="0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4">
                  <a:lumMod val="75000"/>
                </a:schemeClr>
              </a:solidFill>
              <a:effectLst/>
            </a:rPr>
            <a:t> 11/15/24 </a:t>
          </a:r>
        </a:p>
        <a:p>
          <a:pPr algn="ctr"/>
          <a:endParaRPr lang="en-US" sz="28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  <a:p>
          <a:pPr algn="ctr"/>
          <a:endParaRPr lang="en-U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B2:K246"/>
  <sheetViews>
    <sheetView showGridLines="0" tabSelected="1" zoomScale="130" zoomScaleNormal="130" workbookViewId="0">
      <selection activeCell="B7" sqref="B7"/>
    </sheetView>
  </sheetViews>
  <sheetFormatPr defaultRowHeight="15" customHeight="1" x14ac:dyDescent="0.25"/>
  <cols>
    <col min="1" max="1" width="1.42578125" customWidth="1"/>
    <col min="2" max="2" width="17.7109375" customWidth="1"/>
    <col min="3" max="3" width="34.7109375" bestFit="1" customWidth="1"/>
    <col min="4" max="4" width="13" customWidth="1"/>
    <col min="5" max="5" width="12.28515625" customWidth="1"/>
    <col min="6" max="6" width="11.85546875" customWidth="1"/>
    <col min="7" max="7" width="10.5703125" customWidth="1"/>
    <col min="8" max="8" width="11.7109375" customWidth="1"/>
    <col min="9" max="9" width="10.5703125" customWidth="1"/>
    <col min="10" max="10" width="10.42578125" customWidth="1"/>
    <col min="11" max="11" width="11.85546875" customWidth="1"/>
    <col min="12" max="12" width="10" customWidth="1"/>
    <col min="13" max="13" width="9.28515625" customWidth="1"/>
    <col min="14" max="14" width="9.140625" customWidth="1"/>
    <col min="15" max="15" width="12.28515625" bestFit="1" customWidth="1"/>
    <col min="16" max="16" width="12.28515625" customWidth="1"/>
    <col min="17" max="17" width="32" customWidth="1"/>
    <col min="18" max="18" width="28.28515625" customWidth="1"/>
    <col min="19" max="19" width="11.7109375" customWidth="1"/>
    <col min="20" max="20" width="9.140625" customWidth="1"/>
    <col min="25" max="29" width="9.140625" customWidth="1"/>
    <col min="31" max="31" width="9.140625" customWidth="1"/>
  </cols>
  <sheetData>
    <row r="2" spans="2:11" ht="21" x14ac:dyDescent="0.35">
      <c r="B2" s="28" t="s">
        <v>85</v>
      </c>
      <c r="C2" s="1"/>
    </row>
    <row r="3" spans="2:11" ht="21" x14ac:dyDescent="0.35">
      <c r="B3" s="28" t="s">
        <v>51</v>
      </c>
      <c r="C3" s="1"/>
    </row>
    <row r="4" spans="2:11" ht="21" x14ac:dyDescent="0.35">
      <c r="B4" s="28" t="s">
        <v>107</v>
      </c>
      <c r="C4" s="1"/>
    </row>
    <row r="5" spans="2:11" ht="18.75" x14ac:dyDescent="0.3">
      <c r="B5" s="1" t="s">
        <v>108</v>
      </c>
      <c r="C5" s="1"/>
    </row>
    <row r="6" spans="2:11" ht="18.75" x14ac:dyDescent="0.3">
      <c r="B6" s="1"/>
      <c r="C6" s="1"/>
    </row>
    <row r="7" spans="2:11" ht="18.75" x14ac:dyDescent="0.3">
      <c r="B7" s="1"/>
      <c r="C7" s="1"/>
    </row>
    <row r="8" spans="2:11" ht="15.75" x14ac:dyDescent="0.25">
      <c r="B8" s="18" t="s">
        <v>114</v>
      </c>
    </row>
    <row r="9" spans="2:11" ht="18.75" x14ac:dyDescent="0.3">
      <c r="B9" s="11" t="s">
        <v>109</v>
      </c>
      <c r="C9" s="1"/>
    </row>
    <row r="10" spans="2:11" ht="30.75" thickBot="1" x14ac:dyDescent="0.3">
      <c r="B10" s="2" t="s">
        <v>86</v>
      </c>
      <c r="C10" s="2" t="s">
        <v>75</v>
      </c>
      <c r="D10" s="4" t="s">
        <v>81</v>
      </c>
      <c r="E10" s="5" t="s">
        <v>82</v>
      </c>
      <c r="F10" s="13" t="s">
        <v>97</v>
      </c>
      <c r="G10" s="4" t="s">
        <v>83</v>
      </c>
      <c r="H10" s="4" t="s">
        <v>84</v>
      </c>
      <c r="I10" s="5" t="s">
        <v>52</v>
      </c>
      <c r="J10" s="3" t="s">
        <v>53</v>
      </c>
      <c r="K10" s="4" t="s">
        <v>0</v>
      </c>
    </row>
    <row r="11" spans="2:11" ht="15.75" thickTop="1" x14ac:dyDescent="0.25">
      <c r="B11" s="19" t="s">
        <v>54</v>
      </c>
      <c r="C11" s="19" t="s">
        <v>77</v>
      </c>
      <c r="D11" s="23">
        <f>2804</f>
        <v>2804</v>
      </c>
      <c r="E11" s="23">
        <v>59524</v>
      </c>
      <c r="F11" s="21">
        <f>E11+D11</f>
        <v>62328</v>
      </c>
      <c r="G11" s="22">
        <f>3</f>
        <v>3</v>
      </c>
      <c r="H11" s="22">
        <f>6077+2</f>
        <v>6079</v>
      </c>
      <c r="I11" s="22">
        <f>222</f>
        <v>222</v>
      </c>
      <c r="J11" s="22">
        <f>SUM(G11:I11)</f>
        <v>6304</v>
      </c>
      <c r="K11" s="20">
        <f>J11+F11</f>
        <v>68632</v>
      </c>
    </row>
    <row r="12" spans="2:11" x14ac:dyDescent="0.25">
      <c r="B12" s="19" t="s">
        <v>55</v>
      </c>
      <c r="C12" s="19" t="s">
        <v>78</v>
      </c>
      <c r="D12" s="23">
        <f>13</f>
        <v>13</v>
      </c>
      <c r="E12" s="23">
        <f>28876</f>
        <v>28876</v>
      </c>
      <c r="F12" s="21">
        <f t="shared" ref="F12:F15" si="0">E12+D12</f>
        <v>28889</v>
      </c>
      <c r="G12" s="22" t="s">
        <v>56</v>
      </c>
      <c r="H12" s="22">
        <f>6</f>
        <v>6</v>
      </c>
      <c r="I12" s="22">
        <f>37</f>
        <v>37</v>
      </c>
      <c r="J12" s="22">
        <f t="shared" ref="J12:J15" si="1">SUM(G12:I12)</f>
        <v>43</v>
      </c>
      <c r="K12" s="20">
        <f t="shared" ref="K12:K15" si="2">J12+F12</f>
        <v>28932</v>
      </c>
    </row>
    <row r="13" spans="2:11" x14ac:dyDescent="0.25">
      <c r="B13" s="19" t="s">
        <v>88</v>
      </c>
      <c r="C13" s="19" t="s">
        <v>76</v>
      </c>
      <c r="D13" s="23">
        <f>97</f>
        <v>97</v>
      </c>
      <c r="E13" s="23">
        <f>6839</f>
        <v>6839</v>
      </c>
      <c r="F13" s="21">
        <f t="shared" si="0"/>
        <v>6936</v>
      </c>
      <c r="G13" s="22" t="s">
        <v>56</v>
      </c>
      <c r="H13" s="22">
        <f>65</f>
        <v>65</v>
      </c>
      <c r="I13" s="22">
        <f>7</f>
        <v>7</v>
      </c>
      <c r="J13" s="22">
        <f t="shared" si="1"/>
        <v>72</v>
      </c>
      <c r="K13" s="20">
        <f t="shared" si="2"/>
        <v>7008</v>
      </c>
    </row>
    <row r="14" spans="2:11" x14ac:dyDescent="0.25">
      <c r="B14" s="19" t="s">
        <v>87</v>
      </c>
      <c r="C14" s="19" t="s">
        <v>80</v>
      </c>
      <c r="D14" s="23" t="s">
        <v>56</v>
      </c>
      <c r="E14" s="23">
        <f>77</f>
        <v>77</v>
      </c>
      <c r="F14" s="21">
        <f t="shared" si="0"/>
        <v>77</v>
      </c>
      <c r="G14" s="22" t="s">
        <v>56</v>
      </c>
      <c r="H14" s="22">
        <v>0</v>
      </c>
      <c r="I14" s="22">
        <v>0</v>
      </c>
      <c r="J14" s="22">
        <f t="shared" si="1"/>
        <v>0</v>
      </c>
      <c r="K14" s="20">
        <f t="shared" si="2"/>
        <v>77</v>
      </c>
    </row>
    <row r="15" spans="2:11" x14ac:dyDescent="0.25">
      <c r="B15" s="19" t="s">
        <v>57</v>
      </c>
      <c r="C15" s="19" t="s">
        <v>79</v>
      </c>
      <c r="D15" s="23">
        <f>427</f>
        <v>427</v>
      </c>
      <c r="E15" s="23">
        <f>4347</f>
        <v>4347</v>
      </c>
      <c r="F15" s="21">
        <f t="shared" si="0"/>
        <v>4774</v>
      </c>
      <c r="G15" s="22" t="s">
        <v>56</v>
      </c>
      <c r="H15" s="22">
        <f>137</f>
        <v>137</v>
      </c>
      <c r="I15" s="22">
        <f>82</f>
        <v>82</v>
      </c>
      <c r="J15" s="22">
        <f t="shared" si="1"/>
        <v>219</v>
      </c>
      <c r="K15" s="20">
        <f t="shared" si="2"/>
        <v>4993</v>
      </c>
    </row>
    <row r="16" spans="2:11" ht="15.75" thickBot="1" x14ac:dyDescent="0.3">
      <c r="B16" s="24" t="s">
        <v>58</v>
      </c>
      <c r="C16" s="24"/>
      <c r="D16" s="25">
        <f t="shared" ref="D16:K16" si="3">SUM(D11:D15)</f>
        <v>3341</v>
      </c>
      <c r="E16" s="25">
        <f t="shared" si="3"/>
        <v>99663</v>
      </c>
      <c r="F16" s="26">
        <f t="shared" si="3"/>
        <v>103004</v>
      </c>
      <c r="G16" s="27">
        <f t="shared" si="3"/>
        <v>3</v>
      </c>
      <c r="H16" s="25">
        <f t="shared" si="3"/>
        <v>6287</v>
      </c>
      <c r="I16" s="25">
        <f t="shared" si="3"/>
        <v>348</v>
      </c>
      <c r="J16" s="25">
        <f t="shared" si="3"/>
        <v>6638</v>
      </c>
      <c r="K16" s="25">
        <f t="shared" si="3"/>
        <v>109642</v>
      </c>
    </row>
    <row r="17" spans="2:2" ht="15.75" thickTop="1" x14ac:dyDescent="0.25">
      <c r="B17" s="52" t="s">
        <v>94</v>
      </c>
    </row>
    <row r="18" spans="2:2" x14ac:dyDescent="0.25">
      <c r="B18" s="17"/>
    </row>
    <row r="19" spans="2:2" x14ac:dyDescent="0.25"/>
    <row r="20" spans="2:2" x14ac:dyDescent="0.25"/>
    <row r="21" spans="2:2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/>
    <row r="27" spans="2:2" x14ac:dyDescent="0.25"/>
    <row r="28" spans="2:2" x14ac:dyDescent="0.25"/>
    <row r="29" spans="2:2" x14ac:dyDescent="0.25"/>
    <row r="30" spans="2:2" x14ac:dyDescent="0.25"/>
    <row r="31" spans="2:2" x14ac:dyDescent="0.25"/>
    <row r="32" spans="2:2" x14ac:dyDescent="0.25"/>
    <row r="36" ht="30.75" customHeight="1" x14ac:dyDescent="0.25"/>
    <row r="42" ht="23.25" customHeight="1" x14ac:dyDescent="0.25"/>
    <row r="62" ht="20.25" customHeight="1" x14ac:dyDescent="0.25"/>
    <row r="63" ht="37.5" customHeight="1" x14ac:dyDescent="0.25"/>
    <row r="64" ht="51.75" customHeight="1" x14ac:dyDescent="0.25"/>
    <row r="70" ht="23.25" customHeight="1" x14ac:dyDescent="0.25"/>
    <row r="74" ht="28.5" customHeight="1" x14ac:dyDescent="0.25"/>
    <row r="75" ht="36.75" customHeight="1" x14ac:dyDescent="0.25"/>
    <row r="81" ht="21.75" customHeight="1" x14ac:dyDescent="0.25"/>
    <row r="85" ht="31.5" customHeight="1" x14ac:dyDescent="0.25"/>
    <row r="86" ht="58.5" customHeight="1" x14ac:dyDescent="0.25"/>
    <row r="98" ht="27" customHeight="1" x14ac:dyDescent="0.25"/>
    <row r="99" ht="38.25" customHeight="1" x14ac:dyDescent="0.25"/>
    <row r="112" ht="41.25" customHeight="1" x14ac:dyDescent="0.25"/>
    <row r="119" ht="36.75" customHeight="1" x14ac:dyDescent="0.25"/>
    <row r="124" ht="21.75" customHeight="1" x14ac:dyDescent="0.25"/>
    <row r="125" ht="41.25" customHeight="1" x14ac:dyDescent="0.25"/>
    <row r="137" x14ac:dyDescent="0.25"/>
    <row r="138" ht="41.25" customHeight="1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ht="24" customHeight="1" x14ac:dyDescent="0.25"/>
    <row r="146" x14ac:dyDescent="0.25"/>
    <row r="152" ht="41.25" customHeight="1" x14ac:dyDescent="0.25"/>
    <row r="166" ht="43.5" customHeight="1" x14ac:dyDescent="0.25"/>
    <row r="180" ht="31.5" customHeight="1" x14ac:dyDescent="0.25"/>
    <row r="194" ht="39.75" customHeight="1" x14ac:dyDescent="0.25"/>
    <row r="202" ht="29.25" customHeight="1" x14ac:dyDescent="0.25"/>
    <row r="211" ht="17.25" customHeight="1" x14ac:dyDescent="0.25"/>
    <row r="213" ht="30" customHeight="1" x14ac:dyDescent="0.25"/>
    <row r="225" ht="19.5" customHeight="1" x14ac:dyDescent="0.25"/>
    <row r="231" ht="17.25" customHeight="1" x14ac:dyDescent="0.25"/>
    <row r="245" ht="1.5" customHeight="1" x14ac:dyDescent="0.25"/>
    <row r="246" ht="33" customHeight="1" x14ac:dyDescent="0.25"/>
  </sheetData>
  <pageMargins left="0.45" right="0.45" top="0.5" bottom="0.5" header="0.3" footer="0.3"/>
  <pageSetup paperSize="5" scale="65" orientation="landscape" cellComments="asDisplayed" r:id="rId1"/>
  <headerFooter>
    <oddFooter>&amp;L&amp;8&amp;Z&amp;F</oddFooter>
  </headerFooter>
  <rowBreaks count="1" manualBreakCount="1">
    <brk id="300" min="1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 codeName="Sheet2"/>
  <dimension ref="A1:J119"/>
  <sheetViews>
    <sheetView zoomScaleNormal="100" workbookViewId="0">
      <pane xSplit="2" ySplit="4" topLeftCell="D5" activePane="bottomRight" state="frozen"/>
      <selection activeCell="B1" sqref="B1"/>
      <selection pane="topRight" activeCell="C1" sqref="C1"/>
      <selection pane="bottomLeft" activeCell="B5" sqref="B5"/>
      <selection pane="bottomRight" activeCell="B45" sqref="B45"/>
    </sheetView>
  </sheetViews>
  <sheetFormatPr defaultRowHeight="15" customHeight="1" x14ac:dyDescent="0.25"/>
  <cols>
    <col min="1" max="1" width="9.140625" hidden="1" customWidth="1"/>
    <col min="2" max="2" width="66.7109375" customWidth="1"/>
    <col min="3" max="3" width="6" hidden="1" customWidth="1"/>
    <col min="4" max="4" width="11.5703125" style="14" customWidth="1"/>
    <col min="5" max="5" width="11.85546875" style="42" customWidth="1"/>
    <col min="6" max="6" width="11.5703125" style="14" customWidth="1"/>
    <col min="7" max="8" width="13.42578125" style="14" customWidth="1"/>
    <col min="9" max="9" width="12.140625" customWidth="1"/>
    <col min="10" max="10" width="5" customWidth="1"/>
  </cols>
  <sheetData>
    <row r="1" spans="2:10" ht="21" x14ac:dyDescent="0.35">
      <c r="B1" s="44" t="s">
        <v>111</v>
      </c>
      <c r="E1" s="41"/>
      <c r="J1" s="15"/>
    </row>
    <row r="2" spans="2:10" ht="16.5" thickBot="1" x14ac:dyDescent="0.3">
      <c r="B2" s="11" t="s">
        <v>102</v>
      </c>
      <c r="J2" s="15"/>
    </row>
    <row r="3" spans="2:10" ht="27" customHeight="1" thickTop="1" x14ac:dyDescent="0.25">
      <c r="B3" s="16"/>
      <c r="D3" s="49" t="s">
        <v>110</v>
      </c>
      <c r="E3" s="50"/>
      <c r="F3" s="50"/>
      <c r="G3" s="50"/>
      <c r="H3" s="50"/>
      <c r="I3" s="51"/>
    </row>
    <row r="4" spans="2:10" ht="45" customHeight="1" thickBot="1" x14ac:dyDescent="0.3">
      <c r="B4" s="7" t="s">
        <v>101</v>
      </c>
      <c r="D4" s="32" t="s">
        <v>67</v>
      </c>
      <c r="E4" s="33" t="s">
        <v>68</v>
      </c>
      <c r="F4" s="33" t="s">
        <v>73</v>
      </c>
      <c r="G4" s="33" t="s">
        <v>74</v>
      </c>
      <c r="H4" s="33" t="s">
        <v>69</v>
      </c>
      <c r="I4" s="34" t="s">
        <v>66</v>
      </c>
      <c r="J4" s="6"/>
    </row>
    <row r="5" spans="2:10" x14ac:dyDescent="0.25">
      <c r="B5" s="9" t="s">
        <v>99</v>
      </c>
      <c r="D5" s="35">
        <v>1</v>
      </c>
      <c r="E5" s="36" t="s">
        <v>56</v>
      </c>
      <c r="F5" s="36" t="s">
        <v>56</v>
      </c>
      <c r="G5" s="36" t="s">
        <v>56</v>
      </c>
      <c r="H5" s="36" t="s">
        <v>56</v>
      </c>
      <c r="I5" s="37">
        <f t="shared" ref="I5:I68" si="0">SUM(D5:H5)</f>
        <v>1</v>
      </c>
    </row>
    <row r="6" spans="2:10" x14ac:dyDescent="0.25">
      <c r="B6" s="9" t="s">
        <v>100</v>
      </c>
      <c r="D6" s="35">
        <f>4</f>
        <v>4</v>
      </c>
      <c r="E6" s="36" t="s">
        <v>56</v>
      </c>
      <c r="F6" s="36" t="s">
        <v>56</v>
      </c>
      <c r="G6" s="36" t="s">
        <v>56</v>
      </c>
      <c r="H6" s="36" t="s">
        <v>56</v>
      </c>
      <c r="I6" s="37">
        <f t="shared" si="0"/>
        <v>4</v>
      </c>
    </row>
    <row r="7" spans="2:10" x14ac:dyDescent="0.25">
      <c r="B7" s="8" t="s">
        <v>17</v>
      </c>
      <c r="D7" s="35">
        <f>73</f>
        <v>73</v>
      </c>
      <c r="E7" s="36" t="s">
        <v>56</v>
      </c>
      <c r="F7" s="36" t="s">
        <v>56</v>
      </c>
      <c r="G7" s="36" t="s">
        <v>56</v>
      </c>
      <c r="H7" s="36">
        <f>71</f>
        <v>71</v>
      </c>
      <c r="I7" s="37">
        <f t="shared" si="0"/>
        <v>144</v>
      </c>
    </row>
    <row r="8" spans="2:10" x14ac:dyDescent="0.25">
      <c r="B8" s="9" t="s">
        <v>95</v>
      </c>
      <c r="D8" s="35">
        <f>1</f>
        <v>1</v>
      </c>
      <c r="E8" s="36" t="s">
        <v>56</v>
      </c>
      <c r="F8" s="36" t="s">
        <v>56</v>
      </c>
      <c r="G8" s="36" t="s">
        <v>56</v>
      </c>
      <c r="H8" s="36" t="s">
        <v>56</v>
      </c>
      <c r="I8" s="37">
        <f t="shared" si="0"/>
        <v>1</v>
      </c>
    </row>
    <row r="9" spans="2:10" x14ac:dyDescent="0.25">
      <c r="B9" s="8" t="s">
        <v>59</v>
      </c>
      <c r="D9" s="35">
        <f>3152</f>
        <v>3152</v>
      </c>
      <c r="E9" s="36">
        <f>134</f>
        <v>134</v>
      </c>
      <c r="F9" s="36">
        <f>29</f>
        <v>29</v>
      </c>
      <c r="G9" s="36" t="s">
        <v>56</v>
      </c>
      <c r="H9" s="36">
        <f>7+13</f>
        <v>20</v>
      </c>
      <c r="I9" s="37">
        <f t="shared" si="0"/>
        <v>3335</v>
      </c>
    </row>
    <row r="10" spans="2:10" ht="14.25" customHeight="1" x14ac:dyDescent="0.25">
      <c r="B10" s="8" t="s">
        <v>1</v>
      </c>
      <c r="D10" s="35">
        <f>12-11</f>
        <v>1</v>
      </c>
      <c r="E10" s="36" t="s">
        <v>56</v>
      </c>
      <c r="F10" s="36" t="s">
        <v>56</v>
      </c>
      <c r="G10" s="36" t="s">
        <v>56</v>
      </c>
      <c r="H10" s="36" t="s">
        <v>56</v>
      </c>
      <c r="I10" s="37">
        <f t="shared" si="0"/>
        <v>1</v>
      </c>
    </row>
    <row r="11" spans="2:10" x14ac:dyDescent="0.25">
      <c r="B11" s="8" t="s">
        <v>72</v>
      </c>
      <c r="D11" s="35">
        <v>3</v>
      </c>
      <c r="E11" s="36" t="s">
        <v>56</v>
      </c>
      <c r="F11" s="36" t="s">
        <v>56</v>
      </c>
      <c r="G11" s="36" t="s">
        <v>56</v>
      </c>
      <c r="H11" s="36" t="s">
        <v>56</v>
      </c>
      <c r="I11" s="37">
        <f t="shared" si="0"/>
        <v>3</v>
      </c>
    </row>
    <row r="12" spans="2:10" x14ac:dyDescent="0.25">
      <c r="B12" s="8" t="s">
        <v>33</v>
      </c>
      <c r="D12" s="35">
        <f>2</f>
        <v>2</v>
      </c>
      <c r="E12" s="36" t="s">
        <v>56</v>
      </c>
      <c r="F12" s="36" t="s">
        <v>56</v>
      </c>
      <c r="G12" s="36" t="s">
        <v>56</v>
      </c>
      <c r="H12" s="36">
        <f>1</f>
        <v>1</v>
      </c>
      <c r="I12" s="37">
        <f t="shared" si="0"/>
        <v>3</v>
      </c>
    </row>
    <row r="13" spans="2:10" x14ac:dyDescent="0.25">
      <c r="B13" s="8" t="s">
        <v>13</v>
      </c>
      <c r="D13" s="35">
        <f>80</f>
        <v>80</v>
      </c>
      <c r="E13" s="36">
        <v>2</v>
      </c>
      <c r="F13" s="36" t="s">
        <v>56</v>
      </c>
      <c r="G13" s="36" t="s">
        <v>56</v>
      </c>
      <c r="H13" s="36">
        <v>7</v>
      </c>
      <c r="I13" s="37">
        <f t="shared" si="0"/>
        <v>89</v>
      </c>
    </row>
    <row r="14" spans="2:10" x14ac:dyDescent="0.25">
      <c r="B14" s="8" t="s">
        <v>14</v>
      </c>
      <c r="D14" s="35">
        <f>3</f>
        <v>3</v>
      </c>
      <c r="E14" s="36">
        <v>0</v>
      </c>
      <c r="F14" s="36" t="s">
        <v>56</v>
      </c>
      <c r="G14" s="36" t="s">
        <v>56</v>
      </c>
      <c r="H14" s="36" t="s">
        <v>56</v>
      </c>
      <c r="I14" s="37">
        <f t="shared" si="0"/>
        <v>3</v>
      </c>
    </row>
    <row r="15" spans="2:10" x14ac:dyDescent="0.25">
      <c r="B15" s="8" t="s">
        <v>40</v>
      </c>
      <c r="D15" s="35">
        <f>151</f>
        <v>151</v>
      </c>
      <c r="E15" s="36" t="s">
        <v>56</v>
      </c>
      <c r="F15" s="36" t="s">
        <v>56</v>
      </c>
      <c r="G15" s="36" t="s">
        <v>56</v>
      </c>
      <c r="H15" s="36">
        <f>3</f>
        <v>3</v>
      </c>
      <c r="I15" s="37">
        <f t="shared" si="0"/>
        <v>154</v>
      </c>
    </row>
    <row r="16" spans="2:10" x14ac:dyDescent="0.25">
      <c r="B16" s="8" t="s">
        <v>65</v>
      </c>
      <c r="D16" s="35">
        <f>2</f>
        <v>2</v>
      </c>
      <c r="E16" s="36" t="s">
        <v>56</v>
      </c>
      <c r="F16" s="36" t="s">
        <v>56</v>
      </c>
      <c r="G16" s="36" t="s">
        <v>56</v>
      </c>
      <c r="H16" s="36">
        <v>0</v>
      </c>
      <c r="I16" s="37">
        <f t="shared" si="0"/>
        <v>2</v>
      </c>
    </row>
    <row r="17" spans="2:9" x14ac:dyDescent="0.25">
      <c r="B17" s="8" t="s">
        <v>37</v>
      </c>
      <c r="D17" s="35">
        <f>1840</f>
        <v>1840</v>
      </c>
      <c r="E17" s="36">
        <f>1</f>
        <v>1</v>
      </c>
      <c r="F17" s="36">
        <f>7</f>
        <v>7</v>
      </c>
      <c r="G17" s="36" t="s">
        <v>56</v>
      </c>
      <c r="H17" s="36">
        <v>10</v>
      </c>
      <c r="I17" s="37">
        <f t="shared" si="0"/>
        <v>1858</v>
      </c>
    </row>
    <row r="18" spans="2:9" x14ac:dyDescent="0.25">
      <c r="B18" s="8" t="s">
        <v>105</v>
      </c>
      <c r="D18" s="35">
        <f>2</f>
        <v>2</v>
      </c>
      <c r="E18" s="36" t="s">
        <v>56</v>
      </c>
      <c r="F18" s="36">
        <v>0</v>
      </c>
      <c r="G18" s="36" t="s">
        <v>56</v>
      </c>
      <c r="H18" s="36" t="s">
        <v>56</v>
      </c>
      <c r="I18" s="37">
        <f t="shared" si="0"/>
        <v>2</v>
      </c>
    </row>
    <row r="19" spans="2:9" x14ac:dyDescent="0.25">
      <c r="B19" s="8" t="s">
        <v>36</v>
      </c>
      <c r="D19" s="35">
        <f>382</f>
        <v>382</v>
      </c>
      <c r="E19" s="36" t="s">
        <v>56</v>
      </c>
      <c r="F19" s="36">
        <v>1</v>
      </c>
      <c r="G19" s="36" t="s">
        <v>56</v>
      </c>
      <c r="H19" s="36">
        <v>138</v>
      </c>
      <c r="I19" s="37">
        <f t="shared" si="0"/>
        <v>521</v>
      </c>
    </row>
    <row r="20" spans="2:9" x14ac:dyDescent="0.25">
      <c r="B20" s="8" t="s">
        <v>47</v>
      </c>
      <c r="D20" s="35">
        <f>2</f>
        <v>2</v>
      </c>
      <c r="E20" s="36" t="s">
        <v>56</v>
      </c>
      <c r="F20" s="36" t="s">
        <v>56</v>
      </c>
      <c r="G20" s="36" t="s">
        <v>56</v>
      </c>
      <c r="H20" s="36" t="s">
        <v>56</v>
      </c>
      <c r="I20" s="37">
        <f t="shared" si="0"/>
        <v>2</v>
      </c>
    </row>
    <row r="21" spans="2:9" x14ac:dyDescent="0.25">
      <c r="B21" s="8" t="s">
        <v>46</v>
      </c>
      <c r="D21" s="35">
        <f>1</f>
        <v>1</v>
      </c>
      <c r="E21" s="36" t="s">
        <v>56</v>
      </c>
      <c r="F21" s="36" t="s">
        <v>56</v>
      </c>
      <c r="G21" s="36" t="s">
        <v>56</v>
      </c>
      <c r="H21" s="36" t="s">
        <v>56</v>
      </c>
      <c r="I21" s="37">
        <f t="shared" si="0"/>
        <v>1</v>
      </c>
    </row>
    <row r="22" spans="2:9" x14ac:dyDescent="0.25">
      <c r="B22" s="8" t="s">
        <v>50</v>
      </c>
      <c r="D22" s="35">
        <v>2</v>
      </c>
      <c r="E22" s="36" t="s">
        <v>56</v>
      </c>
      <c r="F22" s="36" t="s">
        <v>56</v>
      </c>
      <c r="G22" s="36" t="s">
        <v>56</v>
      </c>
      <c r="H22" s="36" t="s">
        <v>56</v>
      </c>
      <c r="I22" s="37">
        <f t="shared" si="0"/>
        <v>2</v>
      </c>
    </row>
    <row r="23" spans="2:9" x14ac:dyDescent="0.25">
      <c r="B23" s="8" t="s">
        <v>89</v>
      </c>
      <c r="D23" s="35">
        <f>2</f>
        <v>2</v>
      </c>
      <c r="E23" s="36" t="s">
        <v>56</v>
      </c>
      <c r="F23" s="36" t="s">
        <v>56</v>
      </c>
      <c r="G23" s="36" t="s">
        <v>56</v>
      </c>
      <c r="H23" s="36" t="s">
        <v>56</v>
      </c>
      <c r="I23" s="37">
        <f t="shared" si="0"/>
        <v>2</v>
      </c>
    </row>
    <row r="24" spans="2:9" x14ac:dyDescent="0.25">
      <c r="B24" s="8" t="s">
        <v>45</v>
      </c>
      <c r="D24" s="35" t="s">
        <v>56</v>
      </c>
      <c r="E24" s="36" t="s">
        <v>56</v>
      </c>
      <c r="F24" s="36" t="s">
        <v>56</v>
      </c>
      <c r="G24" s="36" t="s">
        <v>56</v>
      </c>
      <c r="H24" s="36">
        <f>1</f>
        <v>1</v>
      </c>
      <c r="I24" s="37">
        <f t="shared" si="0"/>
        <v>1</v>
      </c>
    </row>
    <row r="25" spans="2:9" x14ac:dyDescent="0.25">
      <c r="B25" s="8" t="s">
        <v>48</v>
      </c>
      <c r="D25" s="35">
        <v>9</v>
      </c>
      <c r="E25" s="36" t="s">
        <v>56</v>
      </c>
      <c r="F25" s="36" t="s">
        <v>56</v>
      </c>
      <c r="G25" s="36" t="s">
        <v>56</v>
      </c>
      <c r="H25" s="36" t="s">
        <v>56</v>
      </c>
      <c r="I25" s="37">
        <f t="shared" si="0"/>
        <v>9</v>
      </c>
    </row>
    <row r="26" spans="2:9" x14ac:dyDescent="0.25">
      <c r="B26" s="8" t="s">
        <v>90</v>
      </c>
      <c r="D26" s="35">
        <f>1</f>
        <v>1</v>
      </c>
      <c r="E26" s="36" t="s">
        <v>56</v>
      </c>
      <c r="F26" s="36" t="s">
        <v>56</v>
      </c>
      <c r="G26" s="36" t="s">
        <v>56</v>
      </c>
      <c r="H26" s="36" t="s">
        <v>56</v>
      </c>
      <c r="I26" s="37">
        <f t="shared" si="0"/>
        <v>1</v>
      </c>
    </row>
    <row r="27" spans="2:9" x14ac:dyDescent="0.25">
      <c r="B27" s="8" t="s">
        <v>23</v>
      </c>
      <c r="D27" s="35">
        <v>5</v>
      </c>
      <c r="E27" s="36" t="s">
        <v>56</v>
      </c>
      <c r="F27" s="36" t="s">
        <v>56</v>
      </c>
      <c r="G27" s="36" t="s">
        <v>56</v>
      </c>
      <c r="H27" s="36" t="s">
        <v>56</v>
      </c>
      <c r="I27" s="37">
        <f t="shared" si="0"/>
        <v>5</v>
      </c>
    </row>
    <row r="28" spans="2:9" x14ac:dyDescent="0.25">
      <c r="B28" s="8" t="s">
        <v>2</v>
      </c>
      <c r="D28" s="35">
        <f>5</f>
        <v>5</v>
      </c>
      <c r="E28" s="36" t="s">
        <v>56</v>
      </c>
      <c r="F28" s="36" t="s">
        <v>56</v>
      </c>
      <c r="G28" s="36" t="s">
        <v>56</v>
      </c>
      <c r="H28" s="36">
        <v>15</v>
      </c>
      <c r="I28" s="37">
        <f t="shared" si="0"/>
        <v>20</v>
      </c>
    </row>
    <row r="29" spans="2:9" x14ac:dyDescent="0.25">
      <c r="B29" s="8" t="s">
        <v>41</v>
      </c>
      <c r="D29" s="35">
        <f>1070</f>
        <v>1070</v>
      </c>
      <c r="E29" s="36">
        <f>2018</f>
        <v>2018</v>
      </c>
      <c r="F29" s="36">
        <f>2796</f>
        <v>2796</v>
      </c>
      <c r="G29" s="36" t="s">
        <v>56</v>
      </c>
      <c r="H29" s="36">
        <f>128</f>
        <v>128</v>
      </c>
      <c r="I29" s="37">
        <f t="shared" si="0"/>
        <v>6012</v>
      </c>
    </row>
    <row r="30" spans="2:9" x14ac:dyDescent="0.25">
      <c r="B30" s="8" t="s">
        <v>28</v>
      </c>
      <c r="D30" s="35">
        <f>2</f>
        <v>2</v>
      </c>
      <c r="E30" s="36" t="s">
        <v>56</v>
      </c>
      <c r="F30" s="36" t="s">
        <v>56</v>
      </c>
      <c r="G30" s="36" t="s">
        <v>56</v>
      </c>
      <c r="H30" s="36" t="s">
        <v>56</v>
      </c>
      <c r="I30" s="37">
        <f t="shared" si="0"/>
        <v>2</v>
      </c>
    </row>
    <row r="31" spans="2:9" x14ac:dyDescent="0.25">
      <c r="B31" s="8" t="s">
        <v>64</v>
      </c>
      <c r="D31" s="35">
        <f>223</f>
        <v>223</v>
      </c>
      <c r="E31" s="36">
        <f>5</f>
        <v>5</v>
      </c>
      <c r="F31" s="36">
        <f>14</f>
        <v>14</v>
      </c>
      <c r="G31" s="36" t="s">
        <v>56</v>
      </c>
      <c r="H31" s="36">
        <f>21</f>
        <v>21</v>
      </c>
      <c r="I31" s="37">
        <f t="shared" si="0"/>
        <v>263</v>
      </c>
    </row>
    <row r="32" spans="2:9" x14ac:dyDescent="0.25">
      <c r="B32" s="8" t="s">
        <v>10</v>
      </c>
      <c r="D32" s="35">
        <f>1882</f>
        <v>1882</v>
      </c>
      <c r="E32" s="36">
        <f>817</f>
        <v>817</v>
      </c>
      <c r="F32" s="36">
        <f>3</f>
        <v>3</v>
      </c>
      <c r="G32" s="36" t="s">
        <v>56</v>
      </c>
      <c r="H32" s="36">
        <f>182</f>
        <v>182</v>
      </c>
      <c r="I32" s="37">
        <f t="shared" si="0"/>
        <v>2884</v>
      </c>
    </row>
    <row r="33" spans="2:9" x14ac:dyDescent="0.25">
      <c r="B33" s="8" t="s">
        <v>12</v>
      </c>
      <c r="D33" s="35">
        <f>195</f>
        <v>195</v>
      </c>
      <c r="E33" s="36">
        <f>69</f>
        <v>69</v>
      </c>
      <c r="F33" s="36" t="s">
        <v>56</v>
      </c>
      <c r="G33" s="36" t="s">
        <v>56</v>
      </c>
      <c r="H33" s="36">
        <f>24</f>
        <v>24</v>
      </c>
      <c r="I33" s="37">
        <f t="shared" si="0"/>
        <v>288</v>
      </c>
    </row>
    <row r="34" spans="2:9" x14ac:dyDescent="0.25">
      <c r="B34" s="8" t="s">
        <v>11</v>
      </c>
      <c r="D34" s="35">
        <f>14</f>
        <v>14</v>
      </c>
      <c r="E34" s="36" t="s">
        <v>56</v>
      </c>
      <c r="F34" s="36" t="s">
        <v>56</v>
      </c>
      <c r="G34" s="36" t="s">
        <v>56</v>
      </c>
      <c r="H34" s="36">
        <v>0</v>
      </c>
      <c r="I34" s="37">
        <f t="shared" si="0"/>
        <v>14</v>
      </c>
    </row>
    <row r="35" spans="2:9" x14ac:dyDescent="0.25">
      <c r="B35" s="9" t="s">
        <v>98</v>
      </c>
      <c r="D35" s="35">
        <f>7</f>
        <v>7</v>
      </c>
      <c r="E35" s="36" t="s">
        <v>56</v>
      </c>
      <c r="F35" s="36" t="s">
        <v>56</v>
      </c>
      <c r="G35" s="36" t="s">
        <v>56</v>
      </c>
      <c r="H35" s="36" t="s">
        <v>56</v>
      </c>
      <c r="I35" s="37">
        <f t="shared" si="0"/>
        <v>7</v>
      </c>
    </row>
    <row r="36" spans="2:9" x14ac:dyDescent="0.25">
      <c r="B36" s="8" t="s">
        <v>61</v>
      </c>
      <c r="D36" s="35">
        <f>2</f>
        <v>2</v>
      </c>
      <c r="E36" s="36" t="s">
        <v>56</v>
      </c>
      <c r="F36" s="36" t="s">
        <v>56</v>
      </c>
      <c r="G36" s="36" t="s">
        <v>56</v>
      </c>
      <c r="H36" s="36" t="s">
        <v>56</v>
      </c>
      <c r="I36" s="37">
        <f t="shared" si="0"/>
        <v>2</v>
      </c>
    </row>
    <row r="37" spans="2:9" x14ac:dyDescent="0.25">
      <c r="B37" s="8" t="s">
        <v>42</v>
      </c>
      <c r="D37" s="35">
        <f>52</f>
        <v>52</v>
      </c>
      <c r="E37" s="36">
        <f>8365</f>
        <v>8365</v>
      </c>
      <c r="F37" s="36">
        <v>9</v>
      </c>
      <c r="G37" s="36" t="s">
        <v>56</v>
      </c>
      <c r="H37" s="36">
        <f>1471</f>
        <v>1471</v>
      </c>
      <c r="I37" s="37">
        <f t="shared" si="0"/>
        <v>9897</v>
      </c>
    </row>
    <row r="38" spans="2:9" x14ac:dyDescent="0.25">
      <c r="B38" s="8" t="s">
        <v>19</v>
      </c>
      <c r="D38" s="35">
        <v>4</v>
      </c>
      <c r="E38" s="36" t="s">
        <v>56</v>
      </c>
      <c r="F38" s="36" t="s">
        <v>56</v>
      </c>
      <c r="G38" s="36" t="s">
        <v>56</v>
      </c>
      <c r="H38" s="36" t="s">
        <v>56</v>
      </c>
      <c r="I38" s="37">
        <f t="shared" si="0"/>
        <v>4</v>
      </c>
    </row>
    <row r="39" spans="2:9" x14ac:dyDescent="0.25">
      <c r="B39" s="8" t="s">
        <v>16</v>
      </c>
      <c r="D39" s="35">
        <f>37</f>
        <v>37</v>
      </c>
      <c r="E39" s="36" t="s">
        <v>56</v>
      </c>
      <c r="F39" s="36" t="s">
        <v>56</v>
      </c>
      <c r="G39" s="36" t="s">
        <v>56</v>
      </c>
      <c r="H39" s="36">
        <f>1</f>
        <v>1</v>
      </c>
      <c r="I39" s="37">
        <f t="shared" si="0"/>
        <v>38</v>
      </c>
    </row>
    <row r="40" spans="2:9" x14ac:dyDescent="0.25">
      <c r="B40" s="8" t="s">
        <v>29</v>
      </c>
      <c r="D40" s="35">
        <f>1</f>
        <v>1</v>
      </c>
      <c r="E40" s="36" t="s">
        <v>56</v>
      </c>
      <c r="F40" s="36" t="s">
        <v>56</v>
      </c>
      <c r="G40" s="36" t="s">
        <v>56</v>
      </c>
      <c r="H40" s="36" t="s">
        <v>56</v>
      </c>
      <c r="I40" s="37">
        <f t="shared" si="0"/>
        <v>1</v>
      </c>
    </row>
    <row r="41" spans="2:9" x14ac:dyDescent="0.25">
      <c r="B41" s="8" t="s">
        <v>30</v>
      </c>
      <c r="D41" s="35">
        <v>2</v>
      </c>
      <c r="E41" s="36" t="s">
        <v>56</v>
      </c>
      <c r="F41" s="36" t="s">
        <v>56</v>
      </c>
      <c r="G41" s="36" t="s">
        <v>56</v>
      </c>
      <c r="H41" s="36" t="s">
        <v>56</v>
      </c>
      <c r="I41" s="37">
        <f t="shared" si="0"/>
        <v>2</v>
      </c>
    </row>
    <row r="42" spans="2:9" x14ac:dyDescent="0.25">
      <c r="B42" s="8" t="s">
        <v>38</v>
      </c>
      <c r="D42" s="35">
        <f>4</f>
        <v>4</v>
      </c>
      <c r="E42" s="36">
        <f>11</f>
        <v>11</v>
      </c>
      <c r="F42" s="36">
        <f>54</f>
        <v>54</v>
      </c>
      <c r="G42" s="36" t="s">
        <v>56</v>
      </c>
      <c r="H42" s="36">
        <f>21</f>
        <v>21</v>
      </c>
      <c r="I42" s="37">
        <f t="shared" si="0"/>
        <v>90</v>
      </c>
    </row>
    <row r="43" spans="2:9" x14ac:dyDescent="0.25">
      <c r="B43" t="s">
        <v>112</v>
      </c>
      <c r="D43" s="35">
        <v>2</v>
      </c>
      <c r="E43" s="36" t="s">
        <v>56</v>
      </c>
      <c r="F43" s="36" t="s">
        <v>56</v>
      </c>
      <c r="G43" s="36" t="s">
        <v>56</v>
      </c>
      <c r="H43" s="36" t="s">
        <v>56</v>
      </c>
      <c r="I43" s="37">
        <f t="shared" si="0"/>
        <v>2</v>
      </c>
    </row>
    <row r="44" spans="2:9" x14ac:dyDescent="0.25">
      <c r="B44" s="8" t="s">
        <v>62</v>
      </c>
      <c r="D44" s="35">
        <f>222</f>
        <v>222</v>
      </c>
      <c r="E44" s="36">
        <f>37</f>
        <v>37</v>
      </c>
      <c r="F44" s="36">
        <f>7</f>
        <v>7</v>
      </c>
      <c r="G44" s="36" t="s">
        <v>56</v>
      </c>
      <c r="H44" s="36">
        <f>82</f>
        <v>82</v>
      </c>
      <c r="I44" s="37">
        <f t="shared" si="0"/>
        <v>348</v>
      </c>
    </row>
    <row r="45" spans="2:9" x14ac:dyDescent="0.25">
      <c r="B45" s="8" t="s">
        <v>39</v>
      </c>
      <c r="D45" s="35">
        <v>2</v>
      </c>
      <c r="E45" s="36">
        <f>1</f>
        <v>1</v>
      </c>
      <c r="F45" s="36">
        <f>35</f>
        <v>35</v>
      </c>
      <c r="G45" s="36" t="s">
        <v>56</v>
      </c>
      <c r="H45" s="36">
        <f>23</f>
        <v>23</v>
      </c>
      <c r="I45" s="37">
        <f t="shared" si="0"/>
        <v>61</v>
      </c>
    </row>
    <row r="46" spans="2:9" x14ac:dyDescent="0.25">
      <c r="B46" s="12" t="s">
        <v>71</v>
      </c>
      <c r="D46" s="35">
        <f>4</f>
        <v>4</v>
      </c>
      <c r="E46" s="36" t="s">
        <v>56</v>
      </c>
      <c r="F46" s="36" t="s">
        <v>56</v>
      </c>
      <c r="G46" s="36" t="s">
        <v>56</v>
      </c>
      <c r="H46" s="36">
        <v>4</v>
      </c>
      <c r="I46" s="37">
        <f t="shared" si="0"/>
        <v>8</v>
      </c>
    </row>
    <row r="47" spans="2:9" x14ac:dyDescent="0.25">
      <c r="B47" s="12" t="s">
        <v>7</v>
      </c>
      <c r="D47" s="35">
        <f>9</f>
        <v>9</v>
      </c>
      <c r="E47" s="36" t="s">
        <v>56</v>
      </c>
      <c r="F47" s="36" t="s">
        <v>56</v>
      </c>
      <c r="G47" s="36" t="s">
        <v>56</v>
      </c>
      <c r="H47" s="36" t="s">
        <v>56</v>
      </c>
      <c r="I47" s="37">
        <f t="shared" si="0"/>
        <v>9</v>
      </c>
    </row>
    <row r="48" spans="2:9" x14ac:dyDescent="0.25">
      <c r="B48" s="12" t="s">
        <v>5</v>
      </c>
      <c r="D48" s="35">
        <v>687</v>
      </c>
      <c r="E48" s="36" t="s">
        <v>56</v>
      </c>
      <c r="F48" s="36">
        <f>23</f>
        <v>23</v>
      </c>
      <c r="G48" s="36" t="s">
        <v>56</v>
      </c>
      <c r="H48" s="36" t="s">
        <v>56</v>
      </c>
      <c r="I48" s="37">
        <f t="shared" si="0"/>
        <v>710</v>
      </c>
    </row>
    <row r="49" spans="2:9" x14ac:dyDescent="0.25">
      <c r="B49" s="12" t="s">
        <v>113</v>
      </c>
      <c r="D49" s="35">
        <f>1</f>
        <v>1</v>
      </c>
      <c r="E49" s="36" t="s">
        <v>56</v>
      </c>
      <c r="F49" s="36" t="s">
        <v>56</v>
      </c>
      <c r="G49" s="36" t="s">
        <v>56</v>
      </c>
      <c r="H49" s="36" t="s">
        <v>56</v>
      </c>
      <c r="I49" s="37">
        <f t="shared" si="0"/>
        <v>1</v>
      </c>
    </row>
    <row r="50" spans="2:9" x14ac:dyDescent="0.25">
      <c r="B50" s="12" t="s">
        <v>6</v>
      </c>
      <c r="D50" s="35">
        <f>19</f>
        <v>19</v>
      </c>
      <c r="E50" s="36" t="s">
        <v>56</v>
      </c>
      <c r="F50" s="36" t="s">
        <v>56</v>
      </c>
      <c r="G50" s="36" t="s">
        <v>56</v>
      </c>
      <c r="H50" s="36" t="s">
        <v>56</v>
      </c>
      <c r="I50" s="37">
        <f t="shared" si="0"/>
        <v>19</v>
      </c>
    </row>
    <row r="51" spans="2:9" x14ac:dyDescent="0.25">
      <c r="B51" s="12" t="s">
        <v>70</v>
      </c>
      <c r="D51" s="35">
        <v>1</v>
      </c>
      <c r="E51" s="36" t="s">
        <v>56</v>
      </c>
      <c r="F51" s="36" t="s">
        <v>56</v>
      </c>
      <c r="G51" s="36" t="s">
        <v>56</v>
      </c>
      <c r="H51" s="36"/>
      <c r="I51" s="37">
        <f t="shared" si="0"/>
        <v>1</v>
      </c>
    </row>
    <row r="52" spans="2:9" x14ac:dyDescent="0.25">
      <c r="B52" s="12" t="s">
        <v>3</v>
      </c>
      <c r="D52" s="35">
        <f>504</f>
        <v>504</v>
      </c>
      <c r="E52" s="36" t="s">
        <v>56</v>
      </c>
      <c r="F52" s="36" t="s">
        <v>56</v>
      </c>
      <c r="G52" s="36" t="s">
        <v>56</v>
      </c>
      <c r="H52" s="36" t="s">
        <v>56</v>
      </c>
      <c r="I52" s="37">
        <f t="shared" si="0"/>
        <v>504</v>
      </c>
    </row>
    <row r="53" spans="2:9" x14ac:dyDescent="0.25">
      <c r="B53" s="12" t="s">
        <v>4</v>
      </c>
      <c r="D53" s="35">
        <f>396</f>
        <v>396</v>
      </c>
      <c r="E53" s="36" t="s">
        <v>56</v>
      </c>
      <c r="F53" s="36" t="s">
        <v>56</v>
      </c>
      <c r="G53" s="36" t="s">
        <v>56</v>
      </c>
      <c r="H53" s="36" t="s">
        <v>56</v>
      </c>
      <c r="I53" s="37">
        <f t="shared" si="0"/>
        <v>396</v>
      </c>
    </row>
    <row r="54" spans="2:9" x14ac:dyDescent="0.25">
      <c r="B54" s="8" t="s">
        <v>32</v>
      </c>
      <c r="D54" s="35" t="s">
        <v>56</v>
      </c>
      <c r="E54" s="36" t="s">
        <v>56</v>
      </c>
      <c r="F54" s="36" t="s">
        <v>56</v>
      </c>
      <c r="G54" s="36" t="s">
        <v>56</v>
      </c>
      <c r="H54" s="36">
        <f>1</f>
        <v>1</v>
      </c>
      <c r="I54" s="37">
        <f t="shared" si="0"/>
        <v>1</v>
      </c>
    </row>
    <row r="55" spans="2:9" x14ac:dyDescent="0.25">
      <c r="B55" s="8" t="s">
        <v>22</v>
      </c>
      <c r="D55" s="35">
        <v>1</v>
      </c>
      <c r="E55" s="36" t="s">
        <v>56</v>
      </c>
      <c r="F55" s="36" t="s">
        <v>56</v>
      </c>
      <c r="G55" s="36" t="s">
        <v>56</v>
      </c>
      <c r="H55" s="36" t="s">
        <v>56</v>
      </c>
      <c r="I55" s="37">
        <f t="shared" si="0"/>
        <v>1</v>
      </c>
    </row>
    <row r="56" spans="2:9" x14ac:dyDescent="0.25">
      <c r="B56" s="8" t="s">
        <v>106</v>
      </c>
      <c r="D56" s="35">
        <f>1</f>
        <v>1</v>
      </c>
      <c r="E56" s="36" t="s">
        <v>56</v>
      </c>
      <c r="F56" s="36" t="s">
        <v>56</v>
      </c>
      <c r="G56" s="36" t="s">
        <v>56</v>
      </c>
      <c r="H56" s="36"/>
      <c r="I56" s="37">
        <f t="shared" si="0"/>
        <v>1</v>
      </c>
    </row>
    <row r="57" spans="2:9" x14ac:dyDescent="0.25">
      <c r="B57" s="9" t="s">
        <v>96</v>
      </c>
      <c r="D57" s="35">
        <f>5848</f>
        <v>5848</v>
      </c>
      <c r="E57" s="36">
        <f>1</f>
        <v>1</v>
      </c>
      <c r="F57" s="36">
        <f>51</f>
        <v>51</v>
      </c>
      <c r="G57" s="36" t="s">
        <v>56</v>
      </c>
      <c r="H57" s="36">
        <f>114</f>
        <v>114</v>
      </c>
      <c r="I57" s="37">
        <f t="shared" si="0"/>
        <v>6014</v>
      </c>
    </row>
    <row r="58" spans="2:9" x14ac:dyDescent="0.25">
      <c r="B58" s="8" t="s">
        <v>24</v>
      </c>
      <c r="D58" s="35">
        <f>111</f>
        <v>111</v>
      </c>
      <c r="E58" s="36" t="s">
        <v>56</v>
      </c>
      <c r="F58" s="36" t="s">
        <v>56</v>
      </c>
      <c r="G58" s="36" t="s">
        <v>56</v>
      </c>
      <c r="H58" s="36" t="s">
        <v>56</v>
      </c>
      <c r="I58" s="37">
        <f t="shared" si="0"/>
        <v>111</v>
      </c>
    </row>
    <row r="59" spans="2:9" x14ac:dyDescent="0.25">
      <c r="B59" s="8" t="s">
        <v>44</v>
      </c>
      <c r="D59" s="35">
        <f>235</f>
        <v>235</v>
      </c>
      <c r="E59" s="36" t="s">
        <v>56</v>
      </c>
      <c r="F59" s="36" t="s">
        <v>56</v>
      </c>
      <c r="G59" s="36" t="s">
        <v>56</v>
      </c>
      <c r="H59" s="36" t="s">
        <v>56</v>
      </c>
      <c r="I59" s="37">
        <f t="shared" si="0"/>
        <v>235</v>
      </c>
    </row>
    <row r="60" spans="2:9" x14ac:dyDescent="0.25">
      <c r="B60" s="8" t="s">
        <v>31</v>
      </c>
      <c r="D60" s="35">
        <v>1</v>
      </c>
      <c r="E60" s="36" t="s">
        <v>56</v>
      </c>
      <c r="F60" s="36" t="s">
        <v>56</v>
      </c>
      <c r="G60" s="36" t="s">
        <v>56</v>
      </c>
      <c r="H60" s="36" t="s">
        <v>56</v>
      </c>
      <c r="I60" s="37">
        <f t="shared" si="0"/>
        <v>1</v>
      </c>
    </row>
    <row r="61" spans="2:9" x14ac:dyDescent="0.25">
      <c r="B61" s="8" t="s">
        <v>63</v>
      </c>
      <c r="D61" s="35">
        <f>6</f>
        <v>6</v>
      </c>
      <c r="E61" s="36" t="s">
        <v>56</v>
      </c>
      <c r="F61" s="36" t="s">
        <v>56</v>
      </c>
      <c r="G61" s="36" t="s">
        <v>56</v>
      </c>
      <c r="H61" s="36">
        <f>2</f>
        <v>2</v>
      </c>
      <c r="I61" s="37">
        <f t="shared" si="0"/>
        <v>8</v>
      </c>
    </row>
    <row r="62" spans="2:9" x14ac:dyDescent="0.25">
      <c r="B62" s="8" t="s">
        <v>27</v>
      </c>
      <c r="D62" s="35">
        <f>1</f>
        <v>1</v>
      </c>
      <c r="E62" s="36" t="s">
        <v>56</v>
      </c>
      <c r="F62" s="36" t="s">
        <v>56</v>
      </c>
      <c r="G62" s="36" t="s">
        <v>56</v>
      </c>
      <c r="H62" s="36" t="s">
        <v>56</v>
      </c>
      <c r="I62" s="37">
        <f t="shared" si="0"/>
        <v>1</v>
      </c>
    </row>
    <row r="63" spans="2:9" x14ac:dyDescent="0.25">
      <c r="B63" s="8" t="s">
        <v>8</v>
      </c>
      <c r="D63" s="35">
        <v>3</v>
      </c>
      <c r="E63" s="36" t="s">
        <v>56</v>
      </c>
      <c r="F63" s="36" t="s">
        <v>56</v>
      </c>
      <c r="G63" s="36" t="s">
        <v>56</v>
      </c>
      <c r="H63" s="36" t="s">
        <v>56</v>
      </c>
      <c r="I63" s="37">
        <f t="shared" si="0"/>
        <v>3</v>
      </c>
    </row>
    <row r="64" spans="2:9" x14ac:dyDescent="0.25">
      <c r="B64" s="9" t="s">
        <v>92</v>
      </c>
      <c r="D64" s="35">
        <f>34</f>
        <v>34</v>
      </c>
      <c r="E64" s="36">
        <f>31</f>
        <v>31</v>
      </c>
      <c r="F64" s="36" t="s">
        <v>56</v>
      </c>
      <c r="G64" s="36" t="s">
        <v>56</v>
      </c>
      <c r="H64" s="36">
        <f>456</f>
        <v>456</v>
      </c>
      <c r="I64" s="37">
        <f t="shared" si="0"/>
        <v>521</v>
      </c>
    </row>
    <row r="65" spans="2:9" x14ac:dyDescent="0.25">
      <c r="B65" s="8" t="s">
        <v>20</v>
      </c>
      <c r="D65" s="35">
        <f>2897</f>
        <v>2897</v>
      </c>
      <c r="E65" s="36" t="s">
        <v>56</v>
      </c>
      <c r="F65" s="36">
        <v>28</v>
      </c>
      <c r="G65" s="36" t="s">
        <v>56</v>
      </c>
      <c r="H65" s="36">
        <f>13</f>
        <v>13</v>
      </c>
      <c r="I65" s="37">
        <f t="shared" si="0"/>
        <v>2938</v>
      </c>
    </row>
    <row r="66" spans="2:9" x14ac:dyDescent="0.25">
      <c r="B66" s="8" t="s">
        <v>103</v>
      </c>
      <c r="D66" s="35">
        <f>1</f>
        <v>1</v>
      </c>
      <c r="E66" s="36" t="s">
        <v>56</v>
      </c>
      <c r="F66" s="36" t="s">
        <v>56</v>
      </c>
      <c r="G66" s="36" t="s">
        <v>56</v>
      </c>
      <c r="H66" s="36" t="s">
        <v>56</v>
      </c>
      <c r="I66" s="37">
        <f t="shared" si="0"/>
        <v>1</v>
      </c>
    </row>
    <row r="67" spans="2:9" x14ac:dyDescent="0.25">
      <c r="B67" s="8" t="s">
        <v>21</v>
      </c>
      <c r="D67" s="35">
        <f>9</f>
        <v>9</v>
      </c>
      <c r="E67" s="36" t="s">
        <v>56</v>
      </c>
      <c r="F67" s="36" t="s">
        <v>56</v>
      </c>
      <c r="G67" s="36" t="s">
        <v>56</v>
      </c>
      <c r="H67" s="36" t="s">
        <v>56</v>
      </c>
      <c r="I67" s="37">
        <f t="shared" si="0"/>
        <v>9</v>
      </c>
    </row>
    <row r="68" spans="2:9" x14ac:dyDescent="0.25">
      <c r="B68" s="8" t="s">
        <v>9</v>
      </c>
      <c r="D68" s="35">
        <f>1099</f>
        <v>1099</v>
      </c>
      <c r="E68" s="36">
        <f>199</f>
        <v>199</v>
      </c>
      <c r="F68" s="36">
        <f>120</f>
        <v>120</v>
      </c>
      <c r="G68" s="36">
        <f>28</f>
        <v>28</v>
      </c>
      <c r="H68" s="36">
        <f>45</f>
        <v>45</v>
      </c>
      <c r="I68" s="37">
        <f t="shared" si="0"/>
        <v>1491</v>
      </c>
    </row>
    <row r="69" spans="2:9" x14ac:dyDescent="0.25">
      <c r="B69" s="9" t="s">
        <v>93</v>
      </c>
      <c r="D69" s="35">
        <f>5</f>
        <v>5</v>
      </c>
      <c r="E69" s="36" t="s">
        <v>56</v>
      </c>
      <c r="F69" s="36">
        <f>2</f>
        <v>2</v>
      </c>
      <c r="G69" s="36">
        <v>0</v>
      </c>
      <c r="H69" s="36" t="s">
        <v>56</v>
      </c>
      <c r="I69" s="37">
        <f t="shared" ref="I69:I80" si="1">SUM(D69:H69)</f>
        <v>7</v>
      </c>
    </row>
    <row r="70" spans="2:9" x14ac:dyDescent="0.25">
      <c r="B70" s="9" t="s">
        <v>104</v>
      </c>
      <c r="D70" s="35">
        <f>3</f>
        <v>3</v>
      </c>
      <c r="E70" s="36" t="s">
        <v>56</v>
      </c>
      <c r="F70" s="36">
        <f>2</f>
        <v>2</v>
      </c>
      <c r="G70" s="36" t="s">
        <v>56</v>
      </c>
      <c r="H70" s="36" t="s">
        <v>56</v>
      </c>
      <c r="I70" s="37">
        <f t="shared" si="1"/>
        <v>5</v>
      </c>
    </row>
    <row r="71" spans="2:9" x14ac:dyDescent="0.25">
      <c r="B71" s="8" t="s">
        <v>34</v>
      </c>
      <c r="D71" s="35">
        <f>1</f>
        <v>1</v>
      </c>
      <c r="E71" s="36" t="s">
        <v>56</v>
      </c>
      <c r="F71" s="36" t="s">
        <v>56</v>
      </c>
      <c r="G71" s="36" t="s">
        <v>56</v>
      </c>
      <c r="H71" s="36">
        <f>1</f>
        <v>1</v>
      </c>
      <c r="I71" s="37">
        <f t="shared" si="1"/>
        <v>2</v>
      </c>
    </row>
    <row r="72" spans="2:9" x14ac:dyDescent="0.25">
      <c r="B72" s="8" t="s">
        <v>26</v>
      </c>
      <c r="D72" s="35">
        <f>1</f>
        <v>1</v>
      </c>
      <c r="E72" s="36" t="s">
        <v>56</v>
      </c>
      <c r="F72" s="36" t="s">
        <v>56</v>
      </c>
      <c r="G72" s="36" t="s">
        <v>56</v>
      </c>
      <c r="H72" s="36" t="s">
        <v>56</v>
      </c>
      <c r="I72" s="37">
        <f t="shared" si="1"/>
        <v>1</v>
      </c>
    </row>
    <row r="73" spans="2:9" x14ac:dyDescent="0.25">
      <c r="B73" s="8" t="s">
        <v>35</v>
      </c>
      <c r="D73" s="35">
        <f>2</f>
        <v>2</v>
      </c>
      <c r="E73" s="36" t="s">
        <v>56</v>
      </c>
      <c r="F73" s="36" t="s">
        <v>56</v>
      </c>
      <c r="G73" s="36" t="s">
        <v>56</v>
      </c>
      <c r="H73" s="36" t="s">
        <v>56</v>
      </c>
      <c r="I73" s="37">
        <f t="shared" si="1"/>
        <v>2</v>
      </c>
    </row>
    <row r="74" spans="2:9" x14ac:dyDescent="0.25">
      <c r="B74" s="8" t="s">
        <v>25</v>
      </c>
      <c r="D74" s="35">
        <f>26</f>
        <v>26</v>
      </c>
      <c r="E74" s="36" t="s">
        <v>56</v>
      </c>
      <c r="F74" s="36" t="s">
        <v>56</v>
      </c>
      <c r="G74" s="36" t="s">
        <v>56</v>
      </c>
      <c r="H74" s="36">
        <f>228</f>
        <v>228</v>
      </c>
      <c r="I74" s="37">
        <f t="shared" si="1"/>
        <v>254</v>
      </c>
    </row>
    <row r="75" spans="2:9" x14ac:dyDescent="0.25">
      <c r="B75" s="8" t="s">
        <v>18</v>
      </c>
      <c r="D75" s="35">
        <f>29</f>
        <v>29</v>
      </c>
      <c r="E75" s="36" t="s">
        <v>56</v>
      </c>
      <c r="F75" s="36" t="s">
        <v>56</v>
      </c>
      <c r="G75" s="36" t="s">
        <v>56</v>
      </c>
      <c r="H75" s="36"/>
      <c r="I75" s="37">
        <f t="shared" si="1"/>
        <v>29</v>
      </c>
    </row>
    <row r="76" spans="2:9" x14ac:dyDescent="0.25">
      <c r="B76" s="8" t="s">
        <v>49</v>
      </c>
      <c r="D76" s="35">
        <f>10</f>
        <v>10</v>
      </c>
      <c r="E76" s="36" t="s">
        <v>56</v>
      </c>
      <c r="F76" s="36" t="s">
        <v>56</v>
      </c>
      <c r="G76" s="36" t="s">
        <v>56</v>
      </c>
      <c r="H76" s="36" t="s">
        <v>56</v>
      </c>
      <c r="I76" s="37">
        <f t="shared" si="1"/>
        <v>10</v>
      </c>
    </row>
    <row r="77" spans="2:9" x14ac:dyDescent="0.25">
      <c r="B77" s="8" t="s">
        <v>15</v>
      </c>
      <c r="D77" s="35">
        <f>1</f>
        <v>1</v>
      </c>
      <c r="E77" s="36" t="s">
        <v>56</v>
      </c>
      <c r="F77" s="36" t="s">
        <v>56</v>
      </c>
      <c r="G77" s="36" t="s">
        <v>56</v>
      </c>
      <c r="H77" s="36"/>
      <c r="I77" s="37">
        <f t="shared" si="1"/>
        <v>1</v>
      </c>
    </row>
    <row r="78" spans="2:9" x14ac:dyDescent="0.25">
      <c r="B78" s="8" t="s">
        <v>43</v>
      </c>
      <c r="D78" s="35">
        <f>1</f>
        <v>1</v>
      </c>
      <c r="E78" s="36" t="s">
        <v>56</v>
      </c>
      <c r="F78" s="36" t="s">
        <v>56</v>
      </c>
      <c r="G78" s="36" t="s">
        <v>56</v>
      </c>
      <c r="H78" s="36"/>
      <c r="I78" s="37">
        <f t="shared" si="1"/>
        <v>1</v>
      </c>
    </row>
    <row r="79" spans="2:9" x14ac:dyDescent="0.25">
      <c r="B79" s="8" t="s">
        <v>60</v>
      </c>
      <c r="D79" s="35">
        <v>47209</v>
      </c>
      <c r="E79" s="36">
        <f>17197</f>
        <v>17197</v>
      </c>
      <c r="F79" s="36">
        <f>3716+100</f>
        <v>3816</v>
      </c>
      <c r="G79" s="36">
        <f>30+19</f>
        <v>49</v>
      </c>
      <c r="H79" s="36">
        <f>1910</f>
        <v>1910</v>
      </c>
      <c r="I79" s="37">
        <f t="shared" si="1"/>
        <v>70181</v>
      </c>
    </row>
    <row r="80" spans="2:9" x14ac:dyDescent="0.25">
      <c r="B80" s="8" t="s">
        <v>91</v>
      </c>
      <c r="D80" s="35">
        <f>31</f>
        <v>31</v>
      </c>
      <c r="E80" s="36">
        <f>44</f>
        <v>44</v>
      </c>
      <c r="F80" s="36">
        <v>11</v>
      </c>
      <c r="G80" s="36" t="s">
        <v>56</v>
      </c>
      <c r="H80" s="36" t="s">
        <v>56</v>
      </c>
      <c r="I80" s="37">
        <f t="shared" si="1"/>
        <v>86</v>
      </c>
    </row>
    <row r="81" spans="1:9" ht="35.25" customHeight="1" thickBot="1" x14ac:dyDescent="0.3">
      <c r="B81" s="10" t="s">
        <v>0</v>
      </c>
      <c r="D81" s="38">
        <f>SUM(D5:D80)</f>
        <v>68632</v>
      </c>
      <c r="E81" s="39">
        <f>SUM(E5:E80)</f>
        <v>28932</v>
      </c>
      <c r="F81" s="39">
        <f>SUM(F5:F80)</f>
        <v>7008</v>
      </c>
      <c r="G81" s="39">
        <f>SUM(G5:G80)</f>
        <v>77</v>
      </c>
      <c r="H81" s="39">
        <f>SUM(H5:H80)</f>
        <v>4993</v>
      </c>
      <c r="I81" s="40">
        <f>SUM(D81:H81)</f>
        <v>109642</v>
      </c>
    </row>
    <row r="82" spans="1:9" ht="14.25" customHeight="1" thickTop="1" x14ac:dyDescent="0.25">
      <c r="D82" s="29"/>
      <c r="E82" s="43"/>
      <c r="F82" s="29"/>
      <c r="G82" s="29"/>
      <c r="H82" s="29"/>
      <c r="I82" s="30"/>
    </row>
    <row r="83" spans="1:9" ht="15" customHeight="1" x14ac:dyDescent="0.25">
      <c r="A83" s="15"/>
      <c r="D83"/>
      <c r="E83"/>
      <c r="F83"/>
      <c r="G83"/>
      <c r="H83"/>
    </row>
    <row r="84" spans="1:9" ht="15" customHeight="1" x14ac:dyDescent="0.25">
      <c r="A84" s="15"/>
      <c r="D84"/>
      <c r="E84"/>
      <c r="F84"/>
      <c r="G84"/>
      <c r="H84"/>
    </row>
    <row r="85" spans="1:9" ht="15" customHeight="1" x14ac:dyDescent="0.25">
      <c r="A85" s="15"/>
      <c r="D85"/>
      <c r="E85"/>
      <c r="F85"/>
      <c r="G85"/>
      <c r="H85"/>
    </row>
    <row r="86" spans="1:9" ht="15" customHeight="1" x14ac:dyDescent="0.25">
      <c r="A86" s="6"/>
      <c r="D86"/>
      <c r="E86"/>
      <c r="F86"/>
      <c r="G86"/>
      <c r="H86"/>
    </row>
    <row r="87" spans="1:9" ht="15" customHeight="1" x14ac:dyDescent="0.25">
      <c r="D87"/>
      <c r="E87"/>
      <c r="F87"/>
      <c r="G87"/>
      <c r="H87"/>
    </row>
    <row r="88" spans="1:9" ht="15" customHeight="1" x14ac:dyDescent="0.25">
      <c r="D88"/>
      <c r="E88"/>
      <c r="F88"/>
      <c r="G88"/>
      <c r="H88"/>
    </row>
    <row r="89" spans="1:9" ht="15" customHeight="1" x14ac:dyDescent="0.25">
      <c r="D89" s="45"/>
      <c r="E89" s="46"/>
      <c r="F89" s="47"/>
      <c r="G89" s="47"/>
      <c r="H89" s="45"/>
      <c r="I89" s="45"/>
    </row>
    <row r="90" spans="1:9" ht="15" customHeight="1" x14ac:dyDescent="0.25">
      <c r="D90" s="45"/>
      <c r="E90" s="46"/>
      <c r="F90" s="47"/>
      <c r="G90" s="47"/>
      <c r="H90" s="45"/>
      <c r="I90" s="45"/>
    </row>
    <row r="91" spans="1:9" ht="15" customHeight="1" x14ac:dyDescent="0.25">
      <c r="D91" s="45"/>
      <c r="E91" s="48"/>
      <c r="F91" s="45"/>
      <c r="G91" s="45"/>
      <c r="H91" s="45"/>
      <c r="I91" s="45"/>
    </row>
    <row r="92" spans="1:9" ht="15" customHeight="1" x14ac:dyDescent="0.25">
      <c r="D92" s="45"/>
      <c r="E92" s="48"/>
      <c r="F92" s="45"/>
      <c r="G92" s="45"/>
      <c r="H92" s="45"/>
      <c r="I92" s="45"/>
    </row>
    <row r="93" spans="1:9" ht="15" customHeight="1" x14ac:dyDescent="0.25">
      <c r="D93" s="45"/>
      <c r="E93" s="48"/>
      <c r="F93" s="45"/>
      <c r="G93" s="45"/>
      <c r="H93" s="45"/>
      <c r="I93" s="45"/>
    </row>
    <row r="94" spans="1:9" ht="15" customHeight="1" x14ac:dyDescent="0.25">
      <c r="D94" s="45"/>
      <c r="E94" s="48"/>
      <c r="F94" s="45"/>
      <c r="G94" s="45"/>
      <c r="H94" s="45"/>
      <c r="I94" s="45"/>
    </row>
    <row r="95" spans="1:9" ht="15" customHeight="1" x14ac:dyDescent="0.25">
      <c r="D95" s="45"/>
      <c r="E95" s="48"/>
      <c r="F95" s="45"/>
      <c r="G95" s="45"/>
      <c r="H95" s="45"/>
      <c r="I95" s="45"/>
    </row>
    <row r="96" spans="1:9" ht="15" customHeight="1" x14ac:dyDescent="0.25">
      <c r="D96" s="45"/>
      <c r="E96" s="48"/>
      <c r="F96" s="45"/>
      <c r="G96" s="45"/>
      <c r="H96" s="45"/>
      <c r="I96" s="45"/>
    </row>
    <row r="97" spans="4:9" ht="15" customHeight="1" x14ac:dyDescent="0.25">
      <c r="D97" s="45"/>
      <c r="E97" s="48"/>
      <c r="F97" s="45"/>
      <c r="G97" s="45"/>
      <c r="H97" s="45"/>
      <c r="I97" s="45"/>
    </row>
    <row r="98" spans="4:9" ht="15" customHeight="1" x14ac:dyDescent="0.25">
      <c r="D98" s="45"/>
      <c r="E98" s="48"/>
      <c r="F98" s="45"/>
      <c r="G98" s="45"/>
      <c r="H98" s="45"/>
      <c r="I98" s="45"/>
    </row>
    <row r="99" spans="4:9" ht="15" customHeight="1" x14ac:dyDescent="0.25">
      <c r="F99" s="31"/>
      <c r="I99" s="6"/>
    </row>
    <row r="100" spans="4:9" ht="15" customHeight="1" x14ac:dyDescent="0.25">
      <c r="F100" s="31"/>
      <c r="I100" s="6"/>
    </row>
    <row r="101" spans="4:9" ht="15" customHeight="1" x14ac:dyDescent="0.25">
      <c r="F101" s="31"/>
      <c r="I101" s="6"/>
    </row>
    <row r="102" spans="4:9" ht="15" customHeight="1" x14ac:dyDescent="0.25">
      <c r="F102" s="31"/>
      <c r="I102" s="6"/>
    </row>
    <row r="103" spans="4:9" ht="15" customHeight="1" x14ac:dyDescent="0.25">
      <c r="F103" s="31"/>
      <c r="I103" s="6"/>
    </row>
    <row r="104" spans="4:9" ht="15" customHeight="1" x14ac:dyDescent="0.25">
      <c r="F104" s="31"/>
      <c r="I104" s="6"/>
    </row>
    <row r="105" spans="4:9" ht="15" customHeight="1" x14ac:dyDescent="0.25">
      <c r="F105" s="31"/>
      <c r="I105" s="6"/>
    </row>
    <row r="106" spans="4:9" ht="15" customHeight="1" x14ac:dyDescent="0.25">
      <c r="F106" s="31"/>
      <c r="I106" s="6"/>
    </row>
    <row r="107" spans="4:9" ht="15" customHeight="1" x14ac:dyDescent="0.25">
      <c r="F107" s="31"/>
      <c r="I107" s="6"/>
    </row>
    <row r="108" spans="4:9" ht="15" customHeight="1" x14ac:dyDescent="0.25">
      <c r="F108" s="31"/>
      <c r="I108" s="6"/>
    </row>
    <row r="109" spans="4:9" ht="15" customHeight="1" x14ac:dyDescent="0.25">
      <c r="F109" s="31"/>
      <c r="I109" s="6"/>
    </row>
    <row r="110" spans="4:9" ht="15" customHeight="1" x14ac:dyDescent="0.25">
      <c r="F110" s="31"/>
      <c r="I110" s="6"/>
    </row>
    <row r="111" spans="4:9" ht="15" customHeight="1" x14ac:dyDescent="0.25">
      <c r="F111" s="31"/>
      <c r="I111" s="6"/>
    </row>
    <row r="112" spans="4:9" ht="15" customHeight="1" x14ac:dyDescent="0.25">
      <c r="F112" s="31"/>
      <c r="I112" s="6"/>
    </row>
    <row r="113" spans="6:9" ht="15" customHeight="1" x14ac:dyDescent="0.25">
      <c r="F113" s="31"/>
      <c r="I113" s="6"/>
    </row>
    <row r="114" spans="6:9" ht="15" customHeight="1" x14ac:dyDescent="0.25">
      <c r="F114" s="31"/>
      <c r="I114" s="6"/>
    </row>
    <row r="115" spans="6:9" ht="15" customHeight="1" x14ac:dyDescent="0.25">
      <c r="F115" s="31"/>
      <c r="I115" s="6"/>
    </row>
    <row r="116" spans="6:9" ht="15" customHeight="1" x14ac:dyDescent="0.25">
      <c r="F116" s="31"/>
      <c r="I116" s="6"/>
    </row>
    <row r="117" spans="6:9" ht="15" customHeight="1" x14ac:dyDescent="0.25">
      <c r="F117" s="31"/>
      <c r="I117" s="6"/>
    </row>
    <row r="118" spans="6:9" ht="15" customHeight="1" x14ac:dyDescent="0.25">
      <c r="F118" s="31"/>
      <c r="I118" s="6"/>
    </row>
    <row r="119" spans="6:9" ht="15" customHeight="1" x14ac:dyDescent="0.25">
      <c r="F119" s="31"/>
      <c r="I119" s="6"/>
    </row>
  </sheetData>
  <mergeCells count="1">
    <mergeCell ref="D3:I3"/>
  </mergeCells>
  <phoneticPr fontId="11" type="noConversion"/>
  <pageMargins left="0.45" right="0.45" top="0.25" bottom="0.5" header="0.3" footer="0.3"/>
  <pageSetup paperSize="5" scale="60" orientation="landscape" r:id="rId1"/>
  <headerFooter>
    <oddFooter>&amp;L&amp;8
&amp;Z&amp;F
&amp;Z&amp;F&amp;R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Details for Oct. 2024 (FY25)</vt:lpstr>
      <vt:lpstr>Summary!Print_Area</vt:lpstr>
      <vt:lpstr>'Details for Oct. 2024 (FY25)'!Print_Titles</vt:lpstr>
    </vt:vector>
  </TitlesOfParts>
  <Company>NYC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DiBenedetto Rosa</dc:creator>
  <cp:lastModifiedBy>Rosa Dibenedetto</cp:lastModifiedBy>
  <cp:lastPrinted>2023-03-10T19:30:23Z</cp:lastPrinted>
  <dcterms:created xsi:type="dcterms:W3CDTF">2015-04-16T18:15:29Z</dcterms:created>
  <dcterms:modified xsi:type="dcterms:W3CDTF">2024-11-15T23:15:19Z</dcterms:modified>
</cp:coreProperties>
</file>