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UDGET UNIT\Terms and Conditions\FY23 T&amp;C Reports\"/>
    </mc:Choice>
  </mc:AlternateContent>
  <bookViews>
    <workbookView xWindow="0" yWindow="0" windowWidth="19200" windowHeight="7050"/>
  </bookViews>
  <sheets>
    <sheet name="Summary" sheetId="2" r:id="rId1"/>
    <sheet name="Details for Feb. 2023" sheetId="8" r:id="rId2"/>
  </sheets>
  <definedNames>
    <definedName name="_xlnm._FilterDatabase" localSheetId="1" hidden="1">'Details for Feb. 2023'!$B$1:$B$86</definedName>
    <definedName name="_xlnm.Print_Area" localSheetId="0">Summary!$A$2:$M$24</definedName>
    <definedName name="_xlnm.Print_Titles" localSheetId="1">'Details for Feb. 2023'!$B:$B,'Details for Feb.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C83" i="8"/>
  <c r="C33" i="8"/>
  <c r="E9" i="2"/>
  <c r="E11" i="2"/>
  <c r="H9" i="2"/>
  <c r="G9" i="2"/>
  <c r="C19" i="8"/>
  <c r="C21" i="8"/>
  <c r="G48" i="8"/>
  <c r="E48" i="8"/>
  <c r="D48" i="8"/>
  <c r="C48" i="8"/>
  <c r="I9" i="2"/>
  <c r="G41" i="8"/>
  <c r="C41" i="8"/>
  <c r="H13" i="2"/>
  <c r="G65" i="8"/>
  <c r="D37" i="8"/>
  <c r="C37" i="8"/>
  <c r="E61" i="8"/>
  <c r="C61" i="8"/>
  <c r="H11" i="2"/>
  <c r="H10" i="2"/>
  <c r="E83" i="8"/>
  <c r="E71" i="8"/>
  <c r="G30" i="8"/>
  <c r="G50" i="8"/>
  <c r="G8" i="8"/>
  <c r="E13" i="2"/>
  <c r="G83" i="8"/>
  <c r="G77" i="8"/>
  <c r="G71" i="8"/>
  <c r="G69" i="8"/>
  <c r="G68" i="8"/>
  <c r="G63" i="8"/>
  <c r="G49" i="8"/>
  <c r="G42" i="8"/>
  <c r="G39" i="8"/>
  <c r="G38" i="8"/>
  <c r="G35" i="8"/>
  <c r="G33" i="8"/>
  <c r="G23" i="8"/>
  <c r="G22" i="8"/>
  <c r="G20" i="8"/>
  <c r="G18" i="8"/>
  <c r="G10" i="8"/>
  <c r="E49" i="8"/>
  <c r="E47" i="8"/>
  <c r="E35" i="8"/>
  <c r="E20" i="8"/>
  <c r="E10" i="2"/>
  <c r="D83" i="8"/>
  <c r="D84" i="8"/>
  <c r="D71" i="8"/>
  <c r="D42" i="8"/>
  <c r="D39" i="8"/>
  <c r="D38" i="8"/>
  <c r="D35" i="8"/>
  <c r="D12" i="8"/>
  <c r="C47" i="8"/>
  <c r="C12" i="8"/>
  <c r="C79" i="8"/>
  <c r="C78" i="8"/>
  <c r="C73" i="8"/>
  <c r="C72" i="8"/>
  <c r="C71" i="8"/>
  <c r="C70" i="8"/>
  <c r="C69" i="8"/>
  <c r="C63" i="8"/>
  <c r="C62" i="8"/>
  <c r="C56" i="8"/>
  <c r="C52" i="8"/>
  <c r="C49" i="8"/>
  <c r="C42" i="8"/>
  <c r="C39" i="8"/>
  <c r="C38" i="8"/>
  <c r="C35" i="8"/>
  <c r="C22" i="8"/>
  <c r="C20" i="8"/>
  <c r="C16" i="8"/>
  <c r="C10" i="8"/>
  <c r="C6" i="8"/>
  <c r="D13" i="2"/>
  <c r="F13" i="2"/>
  <c r="C51" i="8"/>
  <c r="C13" i="8"/>
  <c r="E12" i="2"/>
  <c r="F12" i="2"/>
  <c r="G82" i="8"/>
  <c r="G47" i="8"/>
  <c r="G16" i="8"/>
  <c r="G60" i="8"/>
  <c r="F83" i="8"/>
  <c r="F71" i="8"/>
  <c r="E84" i="8"/>
  <c r="E42" i="8"/>
  <c r="D68" i="8"/>
  <c r="C85" i="8"/>
  <c r="C54" i="8"/>
  <c r="C50" i="8"/>
  <c r="C17" i="8"/>
  <c r="C81" i="8"/>
  <c r="C76" i="8"/>
  <c r="C75" i="8"/>
  <c r="G74" i="8"/>
  <c r="G73" i="8"/>
  <c r="E69" i="8"/>
  <c r="C67" i="8"/>
  <c r="C66" i="8"/>
  <c r="C58" i="8"/>
  <c r="G57" i="8"/>
  <c r="E52" i="8"/>
  <c r="D47" i="8"/>
  <c r="G44" i="8"/>
  <c r="C36" i="8"/>
  <c r="G34" i="8"/>
  <c r="C34" i="8"/>
  <c r="C32" i="8"/>
  <c r="C30" i="8"/>
  <c r="G28" i="8"/>
  <c r="C26" i="8"/>
  <c r="C25" i="8"/>
  <c r="C24" i="8"/>
  <c r="E22" i="8"/>
  <c r="D16" i="8"/>
  <c r="C15" i="8"/>
  <c r="G12" i="8"/>
  <c r="E12" i="8"/>
  <c r="G9" i="8"/>
  <c r="G6" i="8"/>
  <c r="G5" i="8"/>
  <c r="J12" i="2"/>
  <c r="G14" i="2"/>
  <c r="J13" i="2"/>
  <c r="K13" i="2"/>
  <c r="F11" i="2"/>
  <c r="J10" i="2"/>
  <c r="I14" i="2"/>
  <c r="J11" i="2"/>
  <c r="J9" i="2"/>
  <c r="F10" i="2"/>
  <c r="H14" i="2"/>
  <c r="F9" i="2"/>
  <c r="K12" i="2"/>
  <c r="D14" i="2"/>
  <c r="E14" i="2"/>
  <c r="K10" i="2"/>
  <c r="F86" i="8"/>
  <c r="E86" i="8"/>
  <c r="F14" i="2"/>
  <c r="K11" i="2"/>
  <c r="J14" i="2"/>
  <c r="K9" i="2"/>
  <c r="K14" i="2"/>
  <c r="D86" i="8"/>
  <c r="G86" i="8"/>
  <c r="H5" i="8"/>
  <c r="C86" i="8"/>
  <c r="H86" i="8"/>
</calcChain>
</file>

<file path=xl/comments1.xml><?xml version="1.0" encoding="utf-8"?>
<comments xmlns="http://schemas.openxmlformats.org/spreadsheetml/2006/main">
  <authors>
    <author>DiBenedetto Rosa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includes hourly admin.positions.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<sst xmlns="http://schemas.openxmlformats.org/spreadsheetml/2006/main" count="375" uniqueCount="119">
  <si>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</si>
  <si>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</si>
  <si>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</si>
  <si>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</si>
  <si>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</si>
  <si>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</si>
  <si>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</si>
  <si>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</si>
  <si>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</si>
  <si>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</si>
  <si>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SOCIAL WORKER</t>
  </si>
  <si>
    <t>GUIDANCE COUNSELOR</t>
  </si>
  <si>
    <t>GUIDANCE COUNSELOR - SABBATICAL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</si>
  <si>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</si>
  <si>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</si>
  <si>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</si>
  <si>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</si>
  <si>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</si>
  <si>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</si>
  <si>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</si>
  <si>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</si>
  <si>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</si>
  <si>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TEACHERS APPRENTICE</t>
  </si>
  <si>
    <t>PROGRAM PRODUCER-TV/AUDIO, LEVEL 3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</si>
  <si>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</si>
  <si>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</si>
  <si>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</si>
  <si>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</si>
  <si>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</si>
  <si>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</si>
  <si>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</si>
  <si>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</si>
  <si>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</si>
  <si>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MEDIA SERVICE TECHNICIAN</t>
  </si>
  <si>
    <t>ELEVATOR OPERATOR</t>
  </si>
  <si>
    <t>MACHINIST HELPER</t>
  </si>
  <si>
    <t>SCHOOL EQUIPMENT MAINTAINER</t>
  </si>
  <si>
    <t>PRINCIPAL ADMINISTRATIVE ASSOCIATE</t>
  </si>
  <si>
    <t>CLERICAL ASSOCIATE</t>
  </si>
  <si>
    <t>SECRETARY</t>
  </si>
  <si>
    <t>STOCKWORKER</t>
  </si>
  <si>
    <t>COMMUNITY COORDINATOR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</si>
  <si>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</si>
  <si>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</si>
  <si>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</si>
  <si>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</si>
  <si>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</si>
  <si>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</si>
  <si>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</si>
  <si>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</si>
  <si>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</si>
  <si>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</si>
  <si>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</si>
  <si>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</si>
  <si>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</si>
  <si>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</si>
  <si>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</si>
  <si>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</si>
  <si>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</si>
  <si>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</si>
  <si>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</si>
  <si>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</si>
  <si>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</si>
  <si>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</si>
  <si>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</si>
  <si>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TEACHER TITLES </t>
  </si>
  <si>
    <t>HOURLY ADMIN TITLES</t>
  </si>
  <si>
    <t>PER DIEM STAFF</t>
  </si>
  <si>
    <t>SCHOOL GUARDS &amp; STUDENT AIDES-HOURLY</t>
  </si>
  <si>
    <t>FAMILY PARAS-HOURLY</t>
  </si>
  <si>
    <t>COMMUNITY ASSISTANT- part-time</t>
  </si>
  <si>
    <t>Total</t>
  </si>
  <si>
    <t xml:space="preserve"> U/A 401</t>
  </si>
  <si>
    <t xml:space="preserve"> U/A 403</t>
  </si>
  <si>
    <t xml:space="preserve"> U/A 481</t>
  </si>
  <si>
    <t>PRINCIPAL - MASTER &amp; MODEL</t>
  </si>
  <si>
    <t>PRINCIPAL - ADULT EDUCATION</t>
  </si>
  <si>
    <t>CERTIFIED IT ADMINISTRATOR (LAN/WAN)</t>
  </si>
  <si>
    <t xml:space="preserve"> U/A 407</t>
  </si>
  <si>
    <t xml:space="preserve"> U/A 409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</si>
  <si>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</si>
  <si>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</si>
  <si>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</si>
  <si>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</si>
  <si>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</si>
  <si>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</si>
  <si>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</si>
  <si>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</si>
  <si>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</si>
  <si>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Part Time - o/c 021</t>
  </si>
  <si>
    <t>Part -time - o/c 031</t>
  </si>
  <si>
    <t>NYC DOE</t>
  </si>
  <si>
    <t>School-based staff</t>
  </si>
  <si>
    <t>U/A 409</t>
  </si>
  <si>
    <t>U/A 407</t>
  </si>
  <si>
    <t>COMPUTER ASSOCIATE - TECH SUPPORT</t>
  </si>
  <si>
    <t>COMPUTER SPECIALIST SOFTWARE</t>
  </si>
  <si>
    <t>TEACHER ASSISTANT LEAD ED. PARA,SPECIAL ED. &amp; ESL</t>
  </si>
  <si>
    <t>ADMINISTRATIVE STAFF ANALYST</t>
  </si>
  <si>
    <t>COMMUNITY SUPERINTENDENT</t>
  </si>
  <si>
    <t>SECRETARY ASSIGNED UFT</t>
  </si>
  <si>
    <t>SCHOOL PSYCHOLOGIST (&amp; BILINGUAL)</t>
  </si>
  <si>
    <t>SCHOOL SOCIAL WORKER SABBATICAL</t>
  </si>
  <si>
    <t xml:space="preserve">Totals may differ from Details tab due to rounding.     </t>
  </si>
  <si>
    <t>ADULT EDUCATION TEACHER - SABBATICAL</t>
  </si>
  <si>
    <t>SCHOOL AIDES -  HOURLY</t>
  </si>
  <si>
    <t>Full - time/ Total</t>
  </si>
  <si>
    <t>ADMINISTRATIVE EDUCATION ANALYST (UNION)</t>
  </si>
  <si>
    <t>ADMINISTRATIVE EDUCATION OFFICER (UNION)</t>
  </si>
  <si>
    <t>Titles</t>
  </si>
  <si>
    <t>F/T &amp; P/T Details</t>
  </si>
  <si>
    <t>SCHOOL SECRETARY SABBATICAL</t>
  </si>
  <si>
    <t>COMMUNITY ASSOCIATE - part-time</t>
  </si>
  <si>
    <t>PSYCHOLOGIST-IN-TRAINING</t>
  </si>
  <si>
    <t>FAMIS FILLED POSITIONS -  FY 2023</t>
  </si>
  <si>
    <t>FY 2023 -  February Filled Positions</t>
  </si>
  <si>
    <t>FY 2023 - February Filled Positions</t>
  </si>
  <si>
    <t>Excludes U/A 415, D.94, due to reorg.</t>
  </si>
  <si>
    <t xml:space="preserve">FY 2023 HEADCOUNT ACTUALS FOR CITY COUNCIL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</si>
</sst>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2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applyBorder="1"/>
    <xf numFmtId="0" fontId="2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0" xfId="0" quotePrefix="1" applyFont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24" xfId="0" quotePrefix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164" fontId="0" fillId="0" borderId="0" xfId="1" applyNumberFormat="1" applyFont="1"/>
    <xf numFmtId="0" fontId="2" fillId="4" borderId="2" xfId="0" applyFont="1" applyFill="1" applyBorder="1"/>
    <xf numFmtId="164" fontId="2" fillId="4" borderId="2" xfId="1" quotePrefix="1" applyNumberFormat="1" applyFont="1" applyFill="1" applyBorder="1" applyAlignment="1">
      <alignment horizontal="center"/>
    </xf>
    <xf numFmtId="164" fontId="2" fillId="4" borderId="25" xfId="1" applyNumberFormat="1" applyFont="1" applyFill="1" applyBorder="1" applyAlignment="1">
      <alignment horizontal="center"/>
    </xf>
    <xf numFmtId="164" fontId="2" fillId="4" borderId="22" xfId="1" quotePrefix="1" applyNumberFormat="1" applyFont="1" applyFill="1" applyBorder="1" applyAlignment="1">
      <alignment horizontal="right"/>
    </xf>
    <xf numFmtId="164" fontId="2" fillId="4" borderId="2" xfId="1" quotePrefix="1" applyNumberFormat="1" applyFont="1" applyFill="1" applyBorder="1" applyAlignment="1">
      <alignment horizontal="right"/>
    </xf>
    <xf numFmtId="0" fontId="2" fillId="4" borderId="3" xfId="0" applyFont="1" applyFill="1" applyBorder="1"/>
    <xf numFmtId="164" fontId="2" fillId="4" borderId="3" xfId="1" applyNumberFormat="1" applyFont="1" applyFill="1" applyBorder="1" applyAlignment="1">
      <alignment horizontal="center"/>
    </xf>
    <xf numFmtId="164" fontId="2" fillId="4" borderId="26" xfId="1" applyNumberFormat="1" applyFont="1" applyFill="1" applyBorder="1" applyAlignment="1">
      <alignment horizontal="center"/>
    </xf>
    <xf numFmtId="164" fontId="2" fillId="4" borderId="23" xfId="1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left"/>
    </xf>
    <xf numFmtId="164" fontId="2" fillId="2" borderId="9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164" fontId="1" fillId="2" borderId="6" xfId="1" quotePrefix="1" applyNumberFormat="1" applyFont="1" applyFill="1" applyBorder="1" applyAlignment="1">
      <alignment horizontal="center"/>
    </xf>
    <xf numFmtId="164" fontId="1" fillId="2" borderId="7" xfId="1" quotePrefix="1" applyNumberFormat="1" applyFont="1" applyFill="1" applyBorder="1" applyAlignment="1">
      <alignment horizontal="center"/>
    </xf>
    <xf numFmtId="164" fontId="1" fillId="2" borderId="27" xfId="1" quotePrefix="1" applyNumberFormat="1" applyFont="1" applyFill="1" applyBorder="1" applyAlignment="1">
      <alignment horizontal="center"/>
    </xf>
    <xf numFmtId="164" fontId="1" fillId="2" borderId="8" xfId="1" applyNumberFormat="1" applyFont="1" applyFill="1" applyBorder="1" applyAlignment="1">
      <alignment horizontal="center"/>
    </xf>
    <xf numFmtId="164" fontId="1" fillId="2" borderId="20" xfId="1" quotePrefix="1" applyNumberFormat="1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43" fontId="0" fillId="0" borderId="0" xfId="0" applyNumberFormat="1"/>
    <xf numFmtId="0" fontId="9" fillId="0" borderId="0" xfId="0" quotePrefix="1" applyFont="1" applyAlignment="1">
      <alignment horizontal="left"/>
    </xf>
    <xf numFmtId="164" fontId="2" fillId="2" borderId="28" xfId="1" quotePrefix="1" applyNumberFormat="1" applyFont="1" applyFill="1" applyBorder="1" applyAlignment="1">
      <alignment horizontal="center"/>
    </xf>
    <xf numFmtId="164" fontId="1" fillId="2" borderId="19" xfId="1" quotePrefix="1" applyNumberFormat="1" applyFont="1" applyFill="1" applyBorder="1" applyAlignment="1">
      <alignment horizontal="center"/>
    </xf>
    <xf numFmtId="0" fontId="10" fillId="0" borderId="0" xfId="0" applyFont="1"/>
    <xf numFmtId="0" fontId="2" fillId="3" borderId="12" xfId="0" quotePrefix="1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0" fontId="2" fillId="3" borderId="14" xfId="0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0F4E2"/>
      <color rgb="FFE0D7C6"/>
      <color rgb="FFFFCCCC"/>
      <color rgb="FFFBE1E7"/>
      <color rgb="FFFBF3F3"/>
      <color rgb="FFF6F1F0"/>
      <color rgb="FFFCFBFA"/>
      <color rgb="FFF9F7F5"/>
      <color rgb="FFF9F4ED"/>
      <color rgb="FFFFEB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140008</xdr:colOff>
      <xdr:row>1</xdr:row>
      <xdr:rowOff>1834</xdr:rowOff>
    </xdr:from>
    <xdr:ext cx="2246844" cy="8498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7979" y="192334"/>
          <a:ext cx="2246844" cy="84981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2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ctr"/>
          <a:r>
            <a:rPr 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3-15-2023</a:t>
          </a:r>
        </a:p>
        <a:p>
          <a:pPr algn="ctr"/>
          <a:endParaRPr 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1">
    <tabColor rgb="FFE0F4E2"/>
  </sheetPr>
  <dimension ref="B2:M180"/>
  <sheetViews>
    <sheetView showGridLines="0" tabSelected="1" zoomScaleNormal="100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E9" sqref="E9"/>
    </sheetView>
  </sheetViews>
  <sheetFormatPr defaultRowHeight="15" customHeight="1" x14ac:dyDescent="0.35"/>
  <cols>
    <col min="1" max="1" width="1.453125" customWidth="1"/>
    <col min="2" max="2" width="17.7265625" customWidth="1"/>
    <col min="3" max="3" width="34.7265625" bestFit="1" customWidth="1"/>
    <col min="4" max="4" width="13" customWidth="1"/>
    <col min="5" max="5" width="12.26953125" customWidth="1"/>
    <col min="6" max="6" width="11.81640625" customWidth="1"/>
    <col min="7" max="7" width="10.54296875" customWidth="1"/>
    <col min="8" max="8" width="11.7265625" customWidth="1"/>
    <col min="9" max="9" width="10.54296875" customWidth="1"/>
    <col min="10" max="10" width="10.453125" customWidth="1"/>
    <col min="11" max="11" width="11.81640625" customWidth="1"/>
    <col min="12" max="12" width="1.54296875" customWidth="1"/>
    <col min="13" max="13" width="9.26953125" hidden="1" customWidth="1"/>
    <col min="14" max="14" width="9.1796875" customWidth="1"/>
    <col min="15" max="15" width="12.26953125" bestFit="1" customWidth="1"/>
    <col min="16" max="16" width="12.26953125" customWidth="1"/>
    <col min="17" max="17" width="32" customWidth="1"/>
    <col min="18" max="18" width="28.26953125" customWidth="1"/>
    <col min="19" max="19" width="11.7265625" customWidth="1"/>
    <col min="20" max="20" width="9.1796875" customWidth="1"/>
    <col min="25" max="29" width="9.1796875" customWidth="1"/>
    <col min="31" max="31" width="9.1796875" customWidth="1"/>
  </cols>
  <sheetData>
    <row r="2" spans="2:11" ht="18.5" x14ac:dyDescent="0.45">
      <c r="B2" s="1" t="s">
        <v>91</v>
      </c>
      <c r="C2" s="1"/>
    </row>
    <row r="3" spans="2:11" ht="18.5" x14ac:dyDescent="0.45">
      <c r="B3" s="1" t="s">
        <v>56</v>
      </c>
      <c r="C3" s="1"/>
    </row>
    <row r="4" spans="2:11" ht="18.5" x14ac:dyDescent="0.45">
      <c r="B4" s="1" t="s">
        <v>114</v>
      </c>
      <c r="C4" s="1"/>
    </row>
    <row r="5" spans="2:11" ht="18.5" x14ac:dyDescent="0.45">
      <c r="B5" s="1"/>
      <c r="C5" s="1"/>
    </row>
    <row r="6" spans="2:11" ht="15" customHeight="1" x14ac:dyDescent="0.35">
      <c r="B6" s="43" t="s">
        <v>117</v>
      </c>
    </row>
    <row r="7" spans="2:11" ht="37.5" customHeight="1" x14ac:dyDescent="0.45">
      <c r="B7" s="13" t="s">
        <v>116</v>
      </c>
      <c r="C7" s="1"/>
    </row>
    <row r="8" spans="2:11" ht="51.75" customHeight="1" thickBot="1" x14ac:dyDescent="0.4">
      <c r="B8" s="2" t="s">
        <v>92</v>
      </c>
      <c r="C8" s="2" t="s">
        <v>81</v>
      </c>
      <c r="D8" s="4" t="s">
        <v>87</v>
      </c>
      <c r="E8" s="5" t="s">
        <v>88</v>
      </c>
      <c r="F8" s="15" t="s">
        <v>106</v>
      </c>
      <c r="G8" s="4" t="s">
        <v>89</v>
      </c>
      <c r="H8" s="4" t="s">
        <v>90</v>
      </c>
      <c r="I8" s="5" t="s">
        <v>57</v>
      </c>
      <c r="J8" s="3" t="s">
        <v>58</v>
      </c>
      <c r="K8" s="4" t="s">
        <v>0</v>
      </c>
    </row>
    <row r="9" spans="2:11" ht="15" customHeight="1" thickTop="1" x14ac:dyDescent="0.35">
      <c r="B9" s="18" t="s">
        <v>59</v>
      </c>
      <c r="C9" s="18" t="s">
        <v>83</v>
      </c>
      <c r="D9" s="19">
        <v>2566</v>
      </c>
      <c r="E9" s="22">
        <f>57727+223</f>
        <v>57950</v>
      </c>
      <c r="F9" s="20">
        <f>E9+D9</f>
        <v>60516</v>
      </c>
      <c r="G9" s="21">
        <f>3</f>
        <v>3</v>
      </c>
      <c r="H9" s="21">
        <f>5914+4</f>
        <v>5918</v>
      </c>
      <c r="I9" s="21">
        <f>242</f>
        <v>242</v>
      </c>
      <c r="J9" s="19">
        <f>SUM(G9:I9)</f>
        <v>6163</v>
      </c>
      <c r="K9" s="19">
        <f>J9+F9</f>
        <v>66679</v>
      </c>
    </row>
    <row r="10" spans="2:11" ht="15" customHeight="1" x14ac:dyDescent="0.35">
      <c r="B10" s="18" t="s">
        <v>60</v>
      </c>
      <c r="C10" s="18" t="s">
        <v>84</v>
      </c>
      <c r="D10" s="19">
        <v>2.33</v>
      </c>
      <c r="E10" s="19">
        <f>27735</f>
        <v>27735</v>
      </c>
      <c r="F10" s="20">
        <f t="shared" ref="F10:F13" si="0">E10+D10</f>
        <v>27737.33</v>
      </c>
      <c r="G10" s="21">
        <v>0</v>
      </c>
      <c r="H10" s="21">
        <f>11</f>
        <v>11</v>
      </c>
      <c r="I10" s="21">
        <v>31</v>
      </c>
      <c r="J10" s="19">
        <f t="shared" ref="J10:J13" si="1">SUM(G10:I10)</f>
        <v>42</v>
      </c>
      <c r="K10" s="19">
        <f t="shared" ref="K10:K13" si="2">J10+F10</f>
        <v>27779.33</v>
      </c>
    </row>
    <row r="11" spans="2:11" ht="15" customHeight="1" x14ac:dyDescent="0.35">
      <c r="B11" s="18" t="s">
        <v>94</v>
      </c>
      <c r="C11" s="18" t="s">
        <v>82</v>
      </c>
      <c r="D11" s="19">
        <v>82</v>
      </c>
      <c r="E11" s="19">
        <f>6553</f>
        <v>6553</v>
      </c>
      <c r="F11" s="20">
        <f t="shared" si="0"/>
        <v>6635</v>
      </c>
      <c r="G11" s="21">
        <v>0</v>
      </c>
      <c r="H11" s="21">
        <f>57</f>
        <v>57</v>
      </c>
      <c r="I11" s="21">
        <v>6</v>
      </c>
      <c r="J11" s="19">
        <f t="shared" si="1"/>
        <v>63</v>
      </c>
      <c r="K11" s="19">
        <f t="shared" si="2"/>
        <v>6698</v>
      </c>
    </row>
    <row r="12" spans="2:11" ht="15" customHeight="1" x14ac:dyDescent="0.35">
      <c r="B12" s="18" t="s">
        <v>93</v>
      </c>
      <c r="C12" s="18" t="s">
        <v>86</v>
      </c>
      <c r="D12" s="22" t="s">
        <v>61</v>
      </c>
      <c r="E12" s="19">
        <f>62+29</f>
        <v>91</v>
      </c>
      <c r="F12" s="20">
        <f t="shared" si="0"/>
        <v>91</v>
      </c>
      <c r="G12" s="21">
        <v>0</v>
      </c>
      <c r="H12" s="21">
        <v>0</v>
      </c>
      <c r="I12" s="21">
        <v>0</v>
      </c>
      <c r="J12" s="19">
        <f t="shared" si="1"/>
        <v>0</v>
      </c>
      <c r="K12" s="19">
        <f t="shared" si="2"/>
        <v>91</v>
      </c>
    </row>
    <row r="13" spans="2:11" ht="15" customHeight="1" x14ac:dyDescent="0.35">
      <c r="B13" s="18" t="s">
        <v>62</v>
      </c>
      <c r="C13" s="18" t="s">
        <v>85</v>
      </c>
      <c r="D13" s="19">
        <f>523</f>
        <v>523</v>
      </c>
      <c r="E13" s="19">
        <f>5078</f>
        <v>5078</v>
      </c>
      <c r="F13" s="20">
        <f t="shared" si="0"/>
        <v>5601</v>
      </c>
      <c r="G13" s="21">
        <v>0</v>
      </c>
      <c r="H13" s="21">
        <f>169+1</f>
        <v>170</v>
      </c>
      <c r="I13" s="21">
        <v>84</v>
      </c>
      <c r="J13" s="19">
        <f t="shared" si="1"/>
        <v>254</v>
      </c>
      <c r="K13" s="19">
        <f t="shared" si="2"/>
        <v>5855</v>
      </c>
    </row>
    <row r="14" spans="2:11" ht="15" customHeight="1" thickBot="1" x14ac:dyDescent="0.4">
      <c r="B14" s="23" t="s">
        <v>63</v>
      </c>
      <c r="C14" s="23"/>
      <c r="D14" s="24">
        <f t="shared" ref="D14:K14" si="3">SUM(D9:D13)</f>
        <v>3173.33</v>
      </c>
      <c r="E14" s="24">
        <f t="shared" si="3"/>
        <v>97407</v>
      </c>
      <c r="F14" s="25">
        <f t="shared" si="3"/>
        <v>100580.33</v>
      </c>
      <c r="G14" s="26">
        <f t="shared" si="3"/>
        <v>3</v>
      </c>
      <c r="H14" s="24">
        <f t="shared" si="3"/>
        <v>6156</v>
      </c>
      <c r="I14" s="24">
        <f t="shared" si="3"/>
        <v>363</v>
      </c>
      <c r="J14" s="24">
        <f t="shared" si="3"/>
        <v>6522</v>
      </c>
      <c r="K14" s="24">
        <f t="shared" si="3"/>
        <v>107102.33</v>
      </c>
    </row>
    <row r="15" spans="2:11" ht="15" customHeight="1" thickTop="1" x14ac:dyDescent="0.35">
      <c r="D15" s="6"/>
      <c r="E15" s="6"/>
      <c r="F15" s="6"/>
      <c r="G15" s="6"/>
      <c r="H15" s="6"/>
      <c r="I15" s="6"/>
      <c r="J15" s="6"/>
      <c r="K15" s="6"/>
    </row>
    <row r="16" spans="2:11" ht="15" customHeight="1" x14ac:dyDescent="0.35">
      <c r="B16" s="27" t="s">
        <v>103</v>
      </c>
    </row>
    <row r="179" ht="1.5" customHeight="1" x14ac:dyDescent="0.35"/>
    <row r="180" ht="33" customHeight="1" x14ac:dyDescent="0.35"/>
  </sheetData>
  <pageMargins left="0.45" right="0.45" top="0.5" bottom="0.5" header="0.3" footer="0.3"/>
  <pageSetup scale="65" orientation="portrait" cellComments="asDisplayed" r:id="rId1"/>
  <headerFooter>
    <oddFooter>&amp;L&amp;8&amp;Z&amp;F</oddFooter>
  </headerFooter>
  <rowBreaks count="1" manualBreakCount="1">
    <brk id="234" min="1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tabColor rgb="FFE0F4E2"/>
  </sheetPr>
  <dimension ref="B1:H98"/>
  <sheetViews>
    <sheetView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5" sqref="C5"/>
    </sheetView>
  </sheetViews>
  <sheetFormatPr defaultRowHeight="15" customHeight="1" x14ac:dyDescent="0.35"/>
  <cols>
    <col min="1" max="1" width="5.7265625" customWidth="1"/>
    <col min="2" max="2" width="56.81640625" customWidth="1"/>
    <col min="3" max="3" width="11.54296875" style="17" customWidth="1"/>
    <col min="4" max="4" width="11.81640625" style="17" customWidth="1"/>
    <col min="5" max="7" width="13.54296875" style="17" customWidth="1"/>
    <col min="8" max="8" width="12.1796875" customWidth="1"/>
    <col min="9" max="9" width="9.54296875" customWidth="1"/>
    <col min="10" max="10" width="12" customWidth="1"/>
    <col min="11" max="11" width="11.54296875" customWidth="1"/>
    <col min="12" max="13" width="11.81640625" customWidth="1"/>
    <col min="14" max="14" width="13.453125" customWidth="1"/>
    <col min="15" max="15" width="11.7265625" customWidth="1"/>
    <col min="16" max="16" width="13.81640625" customWidth="1"/>
  </cols>
  <sheetData>
    <row r="1" spans="2:8" ht="21" x14ac:dyDescent="0.5">
      <c r="B1" s="40" t="s">
        <v>118</v>
      </c>
    </row>
    <row r="2" spans="2:8" thickBot="1" x14ac:dyDescent="0.4">
      <c r="B2" s="16" t="s">
        <v>110</v>
      </c>
    </row>
    <row r="3" spans="2:8" ht="27" customHeight="1" thickTop="1" x14ac:dyDescent="0.35">
      <c r="B3" s="10"/>
      <c r="C3" s="44" t="s">
        <v>115</v>
      </c>
      <c r="D3" s="45"/>
      <c r="E3" s="45"/>
      <c r="F3" s="45"/>
      <c r="G3" s="45"/>
      <c r="H3" s="46"/>
    </row>
    <row r="4" spans="2:8" ht="45" customHeight="1" thickBot="1" x14ac:dyDescent="0.4">
      <c r="B4" s="7" t="s">
        <v>109</v>
      </c>
      <c r="C4" s="28" t="s">
        <v>72</v>
      </c>
      <c r="D4" s="29" t="s">
        <v>73</v>
      </c>
      <c r="E4" s="29" t="s">
        <v>78</v>
      </c>
      <c r="F4" s="29" t="s">
        <v>79</v>
      </c>
      <c r="G4" s="29" t="s">
        <v>74</v>
      </c>
      <c r="H4" s="30" t="s">
        <v>71</v>
      </c>
    </row>
    <row r="5" spans="2:8" ht="14.5" x14ac:dyDescent="0.35">
      <c r="B5" s="9" t="s">
        <v>32</v>
      </c>
      <c r="C5" s="31" t="s">
        <v>61</v>
      </c>
      <c r="D5" s="32" t="s">
        <v>61</v>
      </c>
      <c r="E5" s="32" t="s">
        <v>61</v>
      </c>
      <c r="F5" s="33" t="s">
        <v>61</v>
      </c>
      <c r="G5" s="33">
        <f>1</f>
        <v>1</v>
      </c>
      <c r="H5" s="34">
        <f>SUM(C5:G5)</f>
        <v>1</v>
      </c>
    </row>
    <row r="6" spans="2:8" ht="14.5" x14ac:dyDescent="0.35">
      <c r="B6" s="9" t="s">
        <v>107</v>
      </c>
      <c r="C6" s="31">
        <f>2</f>
        <v>2</v>
      </c>
      <c r="D6" s="32" t="s">
        <v>61</v>
      </c>
      <c r="E6" s="32" t="s">
        <v>61</v>
      </c>
      <c r="F6" s="32" t="s">
        <v>61</v>
      </c>
      <c r="G6" s="32">
        <f>1</f>
        <v>1</v>
      </c>
      <c r="H6" s="34">
        <f t="shared" ref="H6:H54" si="0">SUM(C6:G6)</f>
        <v>3</v>
      </c>
    </row>
    <row r="7" spans="2:8" ht="14.5" x14ac:dyDescent="0.35">
      <c r="B7" s="9" t="s">
        <v>31</v>
      </c>
      <c r="C7" s="31">
        <v>4</v>
      </c>
      <c r="D7" s="32" t="s">
        <v>61</v>
      </c>
      <c r="E7" s="32" t="s">
        <v>61</v>
      </c>
      <c r="F7" s="32" t="s">
        <v>61</v>
      </c>
      <c r="G7" s="32">
        <v>0</v>
      </c>
      <c r="H7" s="34">
        <f t="shared" si="0"/>
        <v>4</v>
      </c>
    </row>
    <row r="8" spans="2:8" ht="14.5" x14ac:dyDescent="0.35">
      <c r="B8" s="9" t="s">
        <v>108</v>
      </c>
      <c r="C8" s="31"/>
      <c r="D8" s="32" t="s">
        <v>61</v>
      </c>
      <c r="E8" s="32" t="s">
        <v>61</v>
      </c>
      <c r="F8" s="32" t="s">
        <v>61</v>
      </c>
      <c r="G8" s="32">
        <f>1</f>
        <v>1</v>
      </c>
      <c r="H8" s="34">
        <f t="shared" si="0"/>
        <v>1</v>
      </c>
    </row>
    <row r="9" spans="2:8" ht="14.5" x14ac:dyDescent="0.35">
      <c r="B9" s="8" t="s">
        <v>98</v>
      </c>
      <c r="C9" s="31" t="s">
        <v>61</v>
      </c>
      <c r="D9" s="32" t="s">
        <v>61</v>
      </c>
      <c r="E9" s="32" t="s">
        <v>61</v>
      </c>
      <c r="F9" s="32" t="s">
        <v>61</v>
      </c>
      <c r="G9" s="32">
        <f>1</f>
        <v>1</v>
      </c>
      <c r="H9" s="34">
        <f t="shared" si="0"/>
        <v>1</v>
      </c>
    </row>
    <row r="10" spans="2:8" ht="14.5" x14ac:dyDescent="0.35">
      <c r="B10" s="8" t="s">
        <v>18</v>
      </c>
      <c r="C10" s="31">
        <f>53</f>
        <v>53</v>
      </c>
      <c r="D10" s="32" t="s">
        <v>61</v>
      </c>
      <c r="E10" s="32" t="s">
        <v>61</v>
      </c>
      <c r="F10" s="32" t="s">
        <v>61</v>
      </c>
      <c r="G10" s="32">
        <f>107</f>
        <v>107</v>
      </c>
      <c r="H10" s="34">
        <f t="shared" si="0"/>
        <v>160</v>
      </c>
    </row>
    <row r="11" spans="2:8" ht="14.5" x14ac:dyDescent="0.35">
      <c r="B11" s="9" t="s">
        <v>104</v>
      </c>
      <c r="C11" s="31">
        <v>1</v>
      </c>
      <c r="D11" s="32" t="s">
        <v>61</v>
      </c>
      <c r="E11" s="32" t="s">
        <v>61</v>
      </c>
      <c r="F11" s="32" t="s">
        <v>61</v>
      </c>
      <c r="G11" s="32" t="s">
        <v>61</v>
      </c>
      <c r="H11" s="34">
        <f t="shared" si="0"/>
        <v>1</v>
      </c>
    </row>
    <row r="12" spans="2:8" ht="14.5" x14ac:dyDescent="0.35">
      <c r="B12" s="8" t="s">
        <v>64</v>
      </c>
      <c r="C12" s="31">
        <f>3105+2</f>
        <v>3107</v>
      </c>
      <c r="D12" s="32">
        <f>123</f>
        <v>123</v>
      </c>
      <c r="E12" s="32">
        <f>9+13</f>
        <v>22</v>
      </c>
      <c r="F12" s="32" t="s">
        <v>61</v>
      </c>
      <c r="G12" s="32">
        <f>28</f>
        <v>28</v>
      </c>
      <c r="H12" s="34">
        <f t="shared" si="0"/>
        <v>3280</v>
      </c>
    </row>
    <row r="13" spans="2:8" ht="14.5" x14ac:dyDescent="0.35">
      <c r="B13" s="8" t="s">
        <v>1</v>
      </c>
      <c r="C13" s="31">
        <f>12-11</f>
        <v>1</v>
      </c>
      <c r="D13" s="32" t="s">
        <v>61</v>
      </c>
      <c r="E13" s="32" t="s">
        <v>61</v>
      </c>
      <c r="F13" s="32" t="s">
        <v>61</v>
      </c>
      <c r="G13" s="32" t="s">
        <v>61</v>
      </c>
      <c r="H13" s="34">
        <f t="shared" si="0"/>
        <v>1</v>
      </c>
    </row>
    <row r="14" spans="2:8" ht="14.5" x14ac:dyDescent="0.35">
      <c r="B14" s="8" t="s">
        <v>77</v>
      </c>
      <c r="C14" s="31">
        <v>3</v>
      </c>
      <c r="D14" s="32" t="s">
        <v>61</v>
      </c>
      <c r="E14" s="32" t="s">
        <v>61</v>
      </c>
      <c r="F14" s="32" t="s">
        <v>61</v>
      </c>
      <c r="G14" s="32" t="s">
        <v>61</v>
      </c>
      <c r="H14" s="34">
        <f t="shared" si="0"/>
        <v>3</v>
      </c>
    </row>
    <row r="15" spans="2:8" ht="14.5" x14ac:dyDescent="0.35">
      <c r="B15" s="8" t="s">
        <v>38</v>
      </c>
      <c r="C15" s="31">
        <f>3</f>
        <v>3</v>
      </c>
      <c r="D15" s="32" t="s">
        <v>61</v>
      </c>
      <c r="E15" s="32" t="s">
        <v>61</v>
      </c>
      <c r="F15" s="32" t="s">
        <v>61</v>
      </c>
      <c r="G15" s="32" t="s">
        <v>61</v>
      </c>
      <c r="H15" s="34">
        <f t="shared" si="0"/>
        <v>3</v>
      </c>
    </row>
    <row r="16" spans="2:8" ht="14.5" x14ac:dyDescent="0.35">
      <c r="B16" s="8" t="s">
        <v>14</v>
      </c>
      <c r="C16" s="31">
        <f>96</f>
        <v>96</v>
      </c>
      <c r="D16" s="32">
        <f>2</f>
        <v>2</v>
      </c>
      <c r="E16" s="32" t="s">
        <v>61</v>
      </c>
      <c r="F16" s="32" t="s">
        <v>61</v>
      </c>
      <c r="G16" s="32">
        <f>9</f>
        <v>9</v>
      </c>
      <c r="H16" s="34">
        <f t="shared" si="0"/>
        <v>107</v>
      </c>
    </row>
    <row r="17" spans="2:8" ht="14.5" x14ac:dyDescent="0.35">
      <c r="B17" s="8" t="s">
        <v>15</v>
      </c>
      <c r="C17" s="31">
        <f>1</f>
        <v>1</v>
      </c>
      <c r="D17" s="32">
        <v>1</v>
      </c>
      <c r="E17" s="32" t="s">
        <v>61</v>
      </c>
      <c r="F17" s="32" t="s">
        <v>61</v>
      </c>
      <c r="G17" s="32" t="s">
        <v>61</v>
      </c>
      <c r="H17" s="34">
        <f t="shared" si="0"/>
        <v>2</v>
      </c>
    </row>
    <row r="18" spans="2:8" ht="14.5" x14ac:dyDescent="0.35">
      <c r="B18" s="8" t="s">
        <v>45</v>
      </c>
      <c r="C18" s="31">
        <v>145</v>
      </c>
      <c r="D18" s="32" t="s">
        <v>61</v>
      </c>
      <c r="E18" s="32" t="s">
        <v>61</v>
      </c>
      <c r="F18" s="32" t="s">
        <v>61</v>
      </c>
      <c r="G18" s="32">
        <f>3</f>
        <v>3</v>
      </c>
      <c r="H18" s="34">
        <f t="shared" si="0"/>
        <v>148</v>
      </c>
    </row>
    <row r="19" spans="2:8" ht="14.5" x14ac:dyDescent="0.35">
      <c r="B19" s="8" t="s">
        <v>70</v>
      </c>
      <c r="C19" s="31">
        <f>1</f>
        <v>1</v>
      </c>
      <c r="D19" s="32" t="s">
        <v>61</v>
      </c>
      <c r="E19" s="32" t="s">
        <v>61</v>
      </c>
      <c r="F19" s="32" t="s">
        <v>61</v>
      </c>
      <c r="G19" s="32">
        <v>0</v>
      </c>
      <c r="H19" s="34">
        <f t="shared" si="0"/>
        <v>1</v>
      </c>
    </row>
    <row r="20" spans="2:8" ht="14.5" x14ac:dyDescent="0.35">
      <c r="B20" s="8" t="s">
        <v>42</v>
      </c>
      <c r="C20" s="31">
        <f>1743</f>
        <v>1743</v>
      </c>
      <c r="D20" s="32" t="s">
        <v>61</v>
      </c>
      <c r="E20" s="32">
        <f>7</f>
        <v>7</v>
      </c>
      <c r="F20" s="32" t="s">
        <v>61</v>
      </c>
      <c r="G20" s="32">
        <f>21</f>
        <v>21</v>
      </c>
      <c r="H20" s="34">
        <f t="shared" si="0"/>
        <v>1771</v>
      </c>
    </row>
    <row r="21" spans="2:8" ht="14.5" x14ac:dyDescent="0.35">
      <c r="B21" s="8" t="s">
        <v>112</v>
      </c>
      <c r="C21" s="31">
        <f>2</f>
        <v>2</v>
      </c>
      <c r="D21" s="32" t="s">
        <v>61</v>
      </c>
      <c r="E21" s="32">
        <v>0</v>
      </c>
      <c r="F21" s="32" t="s">
        <v>61</v>
      </c>
      <c r="G21" s="32" t="s">
        <v>61</v>
      </c>
      <c r="H21" s="34">
        <f t="shared" si="0"/>
        <v>2</v>
      </c>
    </row>
    <row r="22" spans="2:8" ht="14.5" x14ac:dyDescent="0.35">
      <c r="B22" s="8" t="s">
        <v>41</v>
      </c>
      <c r="C22" s="31">
        <f>266</f>
        <v>266</v>
      </c>
      <c r="D22" s="32" t="s">
        <v>61</v>
      </c>
      <c r="E22" s="32">
        <f>2</f>
        <v>2</v>
      </c>
      <c r="F22" s="32" t="s">
        <v>61</v>
      </c>
      <c r="G22" s="32">
        <f>157</f>
        <v>157</v>
      </c>
      <c r="H22" s="34">
        <f t="shared" si="0"/>
        <v>425</v>
      </c>
    </row>
    <row r="23" spans="2:8" ht="14.5" x14ac:dyDescent="0.35">
      <c r="B23" s="8" t="s">
        <v>99</v>
      </c>
      <c r="C23" s="31" t="s">
        <v>61</v>
      </c>
      <c r="D23" s="32" t="s">
        <v>61</v>
      </c>
      <c r="E23" s="32" t="s">
        <v>61</v>
      </c>
      <c r="F23" s="32" t="s">
        <v>61</v>
      </c>
      <c r="G23" s="32">
        <f>1</f>
        <v>1</v>
      </c>
      <c r="H23" s="34">
        <f t="shared" si="0"/>
        <v>1</v>
      </c>
    </row>
    <row r="24" spans="2:8" ht="14.5" x14ac:dyDescent="0.35">
      <c r="B24" s="8" t="s">
        <v>52</v>
      </c>
      <c r="C24" s="31">
        <f>3</f>
        <v>3</v>
      </c>
      <c r="D24" s="32" t="s">
        <v>61</v>
      </c>
      <c r="E24" s="32" t="s">
        <v>61</v>
      </c>
      <c r="F24" s="32" t="s">
        <v>61</v>
      </c>
      <c r="G24" s="32" t="s">
        <v>61</v>
      </c>
      <c r="H24" s="34">
        <f t="shared" si="0"/>
        <v>3</v>
      </c>
    </row>
    <row r="25" spans="2:8" ht="14.5" x14ac:dyDescent="0.35">
      <c r="B25" s="8" t="s">
        <v>51</v>
      </c>
      <c r="C25" s="31">
        <f>1</f>
        <v>1</v>
      </c>
      <c r="D25" s="32" t="s">
        <v>61</v>
      </c>
      <c r="E25" s="32" t="s">
        <v>61</v>
      </c>
      <c r="F25" s="32" t="s">
        <v>61</v>
      </c>
      <c r="G25" s="32" t="s">
        <v>61</v>
      </c>
      <c r="H25" s="34">
        <f t="shared" si="0"/>
        <v>1</v>
      </c>
    </row>
    <row r="26" spans="2:8" ht="14.5" x14ac:dyDescent="0.35">
      <c r="B26" s="8" t="s">
        <v>55</v>
      </c>
      <c r="C26" s="31">
        <f>2</f>
        <v>2</v>
      </c>
      <c r="D26" s="32" t="s">
        <v>61</v>
      </c>
      <c r="E26" s="32" t="s">
        <v>61</v>
      </c>
      <c r="F26" s="32" t="s">
        <v>61</v>
      </c>
      <c r="G26" s="32" t="s">
        <v>61</v>
      </c>
      <c r="H26" s="34">
        <f t="shared" si="0"/>
        <v>2</v>
      </c>
    </row>
    <row r="27" spans="2:8" ht="14.5" x14ac:dyDescent="0.35">
      <c r="B27" s="8" t="s">
        <v>95</v>
      </c>
      <c r="C27" s="31">
        <v>1</v>
      </c>
      <c r="D27" s="32" t="s">
        <v>61</v>
      </c>
      <c r="E27" s="32" t="s">
        <v>61</v>
      </c>
      <c r="F27" s="32" t="s">
        <v>61</v>
      </c>
      <c r="G27" s="32" t="s">
        <v>61</v>
      </c>
      <c r="H27" s="34">
        <f t="shared" si="0"/>
        <v>1</v>
      </c>
    </row>
    <row r="28" spans="2:8" ht="14.5" x14ac:dyDescent="0.35">
      <c r="B28" s="8" t="s">
        <v>50</v>
      </c>
      <c r="C28" s="31" t="s">
        <v>61</v>
      </c>
      <c r="D28" s="32" t="s">
        <v>61</v>
      </c>
      <c r="E28" s="32" t="s">
        <v>61</v>
      </c>
      <c r="F28" s="32" t="s">
        <v>61</v>
      </c>
      <c r="G28" s="32">
        <f>1</f>
        <v>1</v>
      </c>
      <c r="H28" s="34">
        <f t="shared" si="0"/>
        <v>1</v>
      </c>
    </row>
    <row r="29" spans="2:8" ht="14.5" x14ac:dyDescent="0.35">
      <c r="B29" s="8" t="s">
        <v>53</v>
      </c>
      <c r="C29" s="31">
        <v>13</v>
      </c>
      <c r="D29" s="32" t="s">
        <v>61</v>
      </c>
      <c r="E29" s="32" t="s">
        <v>61</v>
      </c>
      <c r="F29" s="32" t="s">
        <v>61</v>
      </c>
      <c r="G29" s="32" t="s">
        <v>61</v>
      </c>
      <c r="H29" s="34">
        <f t="shared" si="0"/>
        <v>13</v>
      </c>
    </row>
    <row r="30" spans="2:8" ht="14.5" x14ac:dyDescent="0.35">
      <c r="B30" s="8" t="s">
        <v>96</v>
      </c>
      <c r="C30" s="31">
        <f>1</f>
        <v>1</v>
      </c>
      <c r="D30" s="32" t="s">
        <v>61</v>
      </c>
      <c r="E30" s="32" t="s">
        <v>61</v>
      </c>
      <c r="F30" s="32" t="s">
        <v>61</v>
      </c>
      <c r="G30" s="32">
        <f>1</f>
        <v>1</v>
      </c>
      <c r="H30" s="34">
        <f t="shared" si="0"/>
        <v>2</v>
      </c>
    </row>
    <row r="31" spans="2:8" ht="14.5" x14ac:dyDescent="0.35">
      <c r="B31" s="8" t="s">
        <v>80</v>
      </c>
      <c r="C31" s="31" t="s">
        <v>61</v>
      </c>
      <c r="D31" s="32" t="s">
        <v>61</v>
      </c>
      <c r="E31" s="32">
        <v>1</v>
      </c>
      <c r="F31" s="32" t="s">
        <v>61</v>
      </c>
      <c r="G31" s="32" t="s">
        <v>61</v>
      </c>
      <c r="H31" s="34">
        <f t="shared" si="0"/>
        <v>1</v>
      </c>
    </row>
    <row r="32" spans="2:8" ht="14.5" x14ac:dyDescent="0.35">
      <c r="B32" s="8" t="s">
        <v>25</v>
      </c>
      <c r="C32" s="31">
        <f>6</f>
        <v>6</v>
      </c>
      <c r="D32" s="32" t="s">
        <v>61</v>
      </c>
      <c r="E32" s="32" t="s">
        <v>61</v>
      </c>
      <c r="F32" s="32" t="s">
        <v>61</v>
      </c>
      <c r="G32" s="32" t="s">
        <v>61</v>
      </c>
      <c r="H32" s="34">
        <f t="shared" si="0"/>
        <v>6</v>
      </c>
    </row>
    <row r="33" spans="2:8" ht="14.5" x14ac:dyDescent="0.35">
      <c r="B33" s="8" t="s">
        <v>2</v>
      </c>
      <c r="C33" s="31">
        <f>8-2</f>
        <v>6</v>
      </c>
      <c r="D33" s="32" t="s">
        <v>61</v>
      </c>
      <c r="E33" s="32" t="s">
        <v>61</v>
      </c>
      <c r="F33" s="32" t="s">
        <v>61</v>
      </c>
      <c r="G33" s="32">
        <f>63</f>
        <v>63</v>
      </c>
      <c r="H33" s="34">
        <f t="shared" si="0"/>
        <v>69</v>
      </c>
    </row>
    <row r="34" spans="2:8" ht="14.5" x14ac:dyDescent="0.35">
      <c r="B34" s="8" t="s">
        <v>24</v>
      </c>
      <c r="C34" s="31">
        <f>2</f>
        <v>2</v>
      </c>
      <c r="D34" s="32" t="s">
        <v>61</v>
      </c>
      <c r="E34" s="32" t="s">
        <v>61</v>
      </c>
      <c r="F34" s="32" t="s">
        <v>61</v>
      </c>
      <c r="G34" s="32">
        <f>1</f>
        <v>1</v>
      </c>
      <c r="H34" s="34">
        <f t="shared" si="0"/>
        <v>3</v>
      </c>
    </row>
    <row r="35" spans="2:8" ht="14.5" x14ac:dyDescent="0.35">
      <c r="B35" s="8" t="s">
        <v>46</v>
      </c>
      <c r="C35" s="31">
        <f>1102</f>
        <v>1102</v>
      </c>
      <c r="D35" s="32">
        <f>1910</f>
        <v>1910</v>
      </c>
      <c r="E35" s="32">
        <f>2711</f>
        <v>2711</v>
      </c>
      <c r="F35" s="32" t="s">
        <v>61</v>
      </c>
      <c r="G35" s="32">
        <f>159</f>
        <v>159</v>
      </c>
      <c r="H35" s="34">
        <f t="shared" si="0"/>
        <v>5882</v>
      </c>
    </row>
    <row r="36" spans="2:8" ht="14.5" x14ac:dyDescent="0.35">
      <c r="B36" s="8" t="s">
        <v>34</v>
      </c>
      <c r="C36" s="31">
        <f>2</f>
        <v>2</v>
      </c>
      <c r="D36" s="32" t="s">
        <v>61</v>
      </c>
      <c r="E36" s="32" t="s">
        <v>61</v>
      </c>
      <c r="F36" s="32" t="s">
        <v>61</v>
      </c>
      <c r="G36" s="32" t="s">
        <v>61</v>
      </c>
      <c r="H36" s="34">
        <f t="shared" si="0"/>
        <v>2</v>
      </c>
    </row>
    <row r="37" spans="2:8" ht="14.5" x14ac:dyDescent="0.35">
      <c r="B37" s="8" t="s">
        <v>69</v>
      </c>
      <c r="C37" s="31">
        <f>300</f>
        <v>300</v>
      </c>
      <c r="D37" s="32">
        <f>11</f>
        <v>11</v>
      </c>
      <c r="E37" s="32">
        <v>16</v>
      </c>
      <c r="F37" s="32" t="s">
        <v>61</v>
      </c>
      <c r="G37" s="32">
        <v>43</v>
      </c>
      <c r="H37" s="34">
        <f t="shared" si="0"/>
        <v>370</v>
      </c>
    </row>
    <row r="38" spans="2:8" ht="14.5" x14ac:dyDescent="0.35">
      <c r="B38" s="8" t="s">
        <v>11</v>
      </c>
      <c r="C38" s="31">
        <f>1774</f>
        <v>1774</v>
      </c>
      <c r="D38" s="32">
        <f>769</f>
        <v>769</v>
      </c>
      <c r="E38" s="32">
        <v>2</v>
      </c>
      <c r="F38" s="32" t="s">
        <v>61</v>
      </c>
      <c r="G38" s="32">
        <f>257</f>
        <v>257</v>
      </c>
      <c r="H38" s="34">
        <f t="shared" si="0"/>
        <v>2802</v>
      </c>
    </row>
    <row r="39" spans="2:8" ht="14.5" x14ac:dyDescent="0.35">
      <c r="B39" s="8" t="s">
        <v>13</v>
      </c>
      <c r="C39" s="31">
        <f>194</f>
        <v>194</v>
      </c>
      <c r="D39" s="32">
        <f>63</f>
        <v>63</v>
      </c>
      <c r="E39" s="32" t="s">
        <v>61</v>
      </c>
      <c r="F39" s="32" t="s">
        <v>61</v>
      </c>
      <c r="G39" s="32">
        <f>27</f>
        <v>27</v>
      </c>
      <c r="H39" s="34">
        <f t="shared" si="0"/>
        <v>284</v>
      </c>
    </row>
    <row r="40" spans="2:8" ht="14.5" x14ac:dyDescent="0.35">
      <c r="B40" s="8" t="s">
        <v>12</v>
      </c>
      <c r="C40" s="31">
        <v>10</v>
      </c>
      <c r="D40" s="32" t="s">
        <v>61</v>
      </c>
      <c r="E40" s="32" t="s">
        <v>61</v>
      </c>
      <c r="F40" s="32" t="s">
        <v>61</v>
      </c>
      <c r="G40" s="32">
        <v>0</v>
      </c>
      <c r="H40" s="34">
        <f t="shared" si="0"/>
        <v>10</v>
      </c>
    </row>
    <row r="41" spans="2:8" ht="14.5" x14ac:dyDescent="0.35">
      <c r="B41" s="8" t="s">
        <v>66</v>
      </c>
      <c r="C41" s="31">
        <f>4</f>
        <v>4</v>
      </c>
      <c r="D41" s="32" t="s">
        <v>61</v>
      </c>
      <c r="E41" s="32" t="s">
        <v>61</v>
      </c>
      <c r="F41" s="32" t="s">
        <v>61</v>
      </c>
      <c r="G41" s="32">
        <f>1</f>
        <v>1</v>
      </c>
      <c r="H41" s="34">
        <f t="shared" si="0"/>
        <v>5</v>
      </c>
    </row>
    <row r="42" spans="2:8" ht="14.5" x14ac:dyDescent="0.35">
      <c r="B42" s="8" t="s">
        <v>47</v>
      </c>
      <c r="C42" s="31">
        <f>39</f>
        <v>39</v>
      </c>
      <c r="D42" s="32">
        <f>7907</f>
        <v>7907</v>
      </c>
      <c r="E42" s="32">
        <f>2</f>
        <v>2</v>
      </c>
      <c r="F42" s="32" t="s">
        <v>61</v>
      </c>
      <c r="G42" s="32">
        <f>1594</f>
        <v>1594</v>
      </c>
      <c r="H42" s="34">
        <f t="shared" si="0"/>
        <v>9542</v>
      </c>
    </row>
    <row r="43" spans="2:8" ht="14.5" x14ac:dyDescent="0.35">
      <c r="B43" s="8" t="s">
        <v>20</v>
      </c>
      <c r="C43" s="31">
        <v>4</v>
      </c>
      <c r="D43" s="32" t="s">
        <v>61</v>
      </c>
      <c r="E43" s="32" t="s">
        <v>61</v>
      </c>
      <c r="F43" s="32" t="s">
        <v>61</v>
      </c>
      <c r="G43" s="32" t="s">
        <v>61</v>
      </c>
      <c r="H43" s="34">
        <f t="shared" si="0"/>
        <v>4</v>
      </c>
    </row>
    <row r="44" spans="2:8" ht="14.5" x14ac:dyDescent="0.35">
      <c r="B44" s="8" t="s">
        <v>17</v>
      </c>
      <c r="C44" s="31">
        <v>41.07</v>
      </c>
      <c r="D44" s="32" t="s">
        <v>61</v>
      </c>
      <c r="E44" s="32" t="s">
        <v>61</v>
      </c>
      <c r="F44" s="32" t="s">
        <v>61</v>
      </c>
      <c r="G44" s="32">
        <f>1</f>
        <v>1</v>
      </c>
      <c r="H44" s="34">
        <f t="shared" si="0"/>
        <v>42.07</v>
      </c>
    </row>
    <row r="45" spans="2:8" ht="14.5" x14ac:dyDescent="0.35">
      <c r="B45" s="8" t="s">
        <v>35</v>
      </c>
      <c r="C45" s="31">
        <v>2</v>
      </c>
      <c r="D45" s="32" t="s">
        <v>61</v>
      </c>
      <c r="E45" s="32" t="s">
        <v>61</v>
      </c>
      <c r="F45" s="32" t="s">
        <v>61</v>
      </c>
      <c r="G45" s="32" t="s">
        <v>61</v>
      </c>
      <c r="H45" s="34">
        <f t="shared" si="0"/>
        <v>2</v>
      </c>
    </row>
    <row r="46" spans="2:8" ht="14.5" x14ac:dyDescent="0.35">
      <c r="B46" s="8" t="s">
        <v>33</v>
      </c>
      <c r="C46" s="31">
        <v>1</v>
      </c>
      <c r="D46" s="32" t="s">
        <v>61</v>
      </c>
      <c r="E46" s="32" t="s">
        <v>61</v>
      </c>
      <c r="F46" s="32" t="s">
        <v>61</v>
      </c>
      <c r="G46" s="32" t="s">
        <v>61</v>
      </c>
      <c r="H46" s="34">
        <f t="shared" si="0"/>
        <v>1</v>
      </c>
    </row>
    <row r="47" spans="2:8" ht="14.5" x14ac:dyDescent="0.35">
      <c r="B47" s="8" t="s">
        <v>43</v>
      </c>
      <c r="C47" s="31">
        <f>1</f>
        <v>1</v>
      </c>
      <c r="D47" s="32">
        <f>2</f>
        <v>2</v>
      </c>
      <c r="E47" s="32">
        <f>45</f>
        <v>45</v>
      </c>
      <c r="F47" s="32" t="s">
        <v>61</v>
      </c>
      <c r="G47" s="32">
        <f>43</f>
        <v>43</v>
      </c>
      <c r="H47" s="34">
        <f t="shared" si="0"/>
        <v>91</v>
      </c>
    </row>
    <row r="48" spans="2:8" ht="14.5" x14ac:dyDescent="0.35">
      <c r="B48" s="8" t="s">
        <v>67</v>
      </c>
      <c r="C48" s="31">
        <f>242</f>
        <v>242</v>
      </c>
      <c r="D48" s="32">
        <f>31</f>
        <v>31</v>
      </c>
      <c r="E48" s="32">
        <f>6</f>
        <v>6</v>
      </c>
      <c r="F48" s="32" t="s">
        <v>61</v>
      </c>
      <c r="G48" s="32">
        <f>84</f>
        <v>84</v>
      </c>
      <c r="H48" s="34">
        <f t="shared" si="0"/>
        <v>363</v>
      </c>
    </row>
    <row r="49" spans="2:8" ht="14.5" x14ac:dyDescent="0.35">
      <c r="B49" s="8" t="s">
        <v>44</v>
      </c>
      <c r="C49" s="31">
        <f>1</f>
        <v>1</v>
      </c>
      <c r="D49" s="32" t="s">
        <v>61</v>
      </c>
      <c r="E49" s="32">
        <f>29</f>
        <v>29</v>
      </c>
      <c r="F49" s="32" t="s">
        <v>61</v>
      </c>
      <c r="G49" s="32">
        <f>32</f>
        <v>32</v>
      </c>
      <c r="H49" s="34">
        <f t="shared" si="0"/>
        <v>62</v>
      </c>
    </row>
    <row r="50" spans="2:8" ht="14.5" x14ac:dyDescent="0.35">
      <c r="B50" s="14" t="s">
        <v>76</v>
      </c>
      <c r="C50" s="31">
        <f>1</f>
        <v>1</v>
      </c>
      <c r="D50" s="32" t="s">
        <v>61</v>
      </c>
      <c r="E50" s="32" t="s">
        <v>61</v>
      </c>
      <c r="F50" s="32" t="s">
        <v>61</v>
      </c>
      <c r="G50" s="32">
        <f>8</f>
        <v>8</v>
      </c>
      <c r="H50" s="34">
        <f t="shared" si="0"/>
        <v>9</v>
      </c>
    </row>
    <row r="51" spans="2:8" ht="14.5" x14ac:dyDescent="0.35">
      <c r="B51" s="14" t="s">
        <v>7</v>
      </c>
      <c r="C51" s="31">
        <f>4</f>
        <v>4</v>
      </c>
      <c r="D51" s="32" t="s">
        <v>61</v>
      </c>
      <c r="E51" s="32" t="s">
        <v>61</v>
      </c>
      <c r="F51" s="32" t="s">
        <v>61</v>
      </c>
      <c r="G51" s="32" t="s">
        <v>61</v>
      </c>
      <c r="H51" s="34">
        <f t="shared" si="0"/>
        <v>4</v>
      </c>
    </row>
    <row r="52" spans="2:8" ht="14.5" x14ac:dyDescent="0.35">
      <c r="B52" s="14" t="s">
        <v>5</v>
      </c>
      <c r="C52" s="31">
        <f>684</f>
        <v>684</v>
      </c>
      <c r="D52" s="32" t="s">
        <v>61</v>
      </c>
      <c r="E52" s="32">
        <f>22</f>
        <v>22</v>
      </c>
      <c r="F52" s="32" t="s">
        <v>61</v>
      </c>
      <c r="G52" s="32" t="s">
        <v>61</v>
      </c>
      <c r="H52" s="34">
        <f t="shared" si="0"/>
        <v>706</v>
      </c>
    </row>
    <row r="53" spans="2:8" ht="14.5" x14ac:dyDescent="0.35">
      <c r="B53" s="14" t="s">
        <v>6</v>
      </c>
      <c r="C53" s="31">
        <v>2</v>
      </c>
      <c r="D53" s="32" t="s">
        <v>61</v>
      </c>
      <c r="E53" s="32" t="s">
        <v>61</v>
      </c>
      <c r="F53" s="32" t="s">
        <v>61</v>
      </c>
      <c r="G53" s="32" t="s">
        <v>61</v>
      </c>
      <c r="H53" s="34">
        <f t="shared" si="0"/>
        <v>2</v>
      </c>
    </row>
    <row r="54" spans="2:8" ht="14.5" x14ac:dyDescent="0.35">
      <c r="B54" s="14" t="s">
        <v>75</v>
      </c>
      <c r="C54" s="31">
        <f>2</f>
        <v>2</v>
      </c>
      <c r="D54" s="32" t="s">
        <v>61</v>
      </c>
      <c r="E54" s="32" t="s">
        <v>61</v>
      </c>
      <c r="F54" s="32" t="s">
        <v>61</v>
      </c>
      <c r="G54" s="32" t="s">
        <v>61</v>
      </c>
      <c r="H54" s="34">
        <f t="shared" si="0"/>
        <v>2</v>
      </c>
    </row>
    <row r="55" spans="2:8" ht="14.5" x14ac:dyDescent="0.35">
      <c r="B55" s="14" t="s">
        <v>3</v>
      </c>
      <c r="C55" s="31">
        <v>501</v>
      </c>
      <c r="D55" s="32" t="s">
        <v>61</v>
      </c>
      <c r="E55" s="32" t="s">
        <v>61</v>
      </c>
      <c r="F55" s="32" t="s">
        <v>61</v>
      </c>
      <c r="G55" s="32" t="s">
        <v>61</v>
      </c>
      <c r="H55" s="34">
        <f t="shared" ref="H55:H85" si="1">SUM(C55:G55)</f>
        <v>501</v>
      </c>
    </row>
    <row r="56" spans="2:8" ht="14.5" x14ac:dyDescent="0.35">
      <c r="B56" s="14" t="s">
        <v>4</v>
      </c>
      <c r="C56" s="31">
        <f>386</f>
        <v>386</v>
      </c>
      <c r="D56" s="32" t="s">
        <v>61</v>
      </c>
      <c r="E56" s="32" t="s">
        <v>61</v>
      </c>
      <c r="F56" s="32" t="s">
        <v>61</v>
      </c>
      <c r="G56" s="32" t="s">
        <v>61</v>
      </c>
      <c r="H56" s="34">
        <f t="shared" si="1"/>
        <v>386</v>
      </c>
    </row>
    <row r="57" spans="2:8" ht="14.5" x14ac:dyDescent="0.35">
      <c r="B57" s="8" t="s">
        <v>37</v>
      </c>
      <c r="C57" s="31" t="s">
        <v>61</v>
      </c>
      <c r="D57" s="32" t="s">
        <v>61</v>
      </c>
      <c r="E57" s="32" t="s">
        <v>61</v>
      </c>
      <c r="F57" s="32" t="s">
        <v>61</v>
      </c>
      <c r="G57" s="32">
        <f>2</f>
        <v>2</v>
      </c>
      <c r="H57" s="34">
        <f t="shared" si="1"/>
        <v>2</v>
      </c>
    </row>
    <row r="58" spans="2:8" ht="14.5" x14ac:dyDescent="0.35">
      <c r="B58" s="8" t="s">
        <v>28</v>
      </c>
      <c r="C58" s="31">
        <f>1</f>
        <v>1</v>
      </c>
      <c r="D58" s="32" t="s">
        <v>61</v>
      </c>
      <c r="E58" s="32" t="s">
        <v>61</v>
      </c>
      <c r="F58" s="32" t="s">
        <v>61</v>
      </c>
      <c r="G58" s="32" t="s">
        <v>61</v>
      </c>
      <c r="H58" s="34">
        <f t="shared" si="1"/>
        <v>1</v>
      </c>
    </row>
    <row r="59" spans="2:8" ht="14.5" x14ac:dyDescent="0.35">
      <c r="B59" s="8" t="s">
        <v>23</v>
      </c>
      <c r="C59" s="31">
        <v>1</v>
      </c>
      <c r="D59" s="32" t="s">
        <v>61</v>
      </c>
      <c r="E59" s="32" t="s">
        <v>61</v>
      </c>
      <c r="F59" s="32" t="s">
        <v>61</v>
      </c>
      <c r="G59" s="32" t="s">
        <v>61</v>
      </c>
      <c r="H59" s="34">
        <f t="shared" si="1"/>
        <v>1</v>
      </c>
    </row>
    <row r="60" spans="2:8" ht="14.5" x14ac:dyDescent="0.35">
      <c r="B60" s="8" t="s">
        <v>113</v>
      </c>
      <c r="C60" s="31" t="s">
        <v>61</v>
      </c>
      <c r="D60" s="32" t="s">
        <v>61</v>
      </c>
      <c r="E60" s="32" t="s">
        <v>61</v>
      </c>
      <c r="F60" s="32" t="s">
        <v>61</v>
      </c>
      <c r="G60" s="32">
        <f>34</f>
        <v>34</v>
      </c>
      <c r="H60" s="34">
        <f t="shared" si="1"/>
        <v>34</v>
      </c>
    </row>
    <row r="61" spans="2:8" ht="14.5" x14ac:dyDescent="0.35">
      <c r="B61" s="9" t="s">
        <v>105</v>
      </c>
      <c r="C61" s="31">
        <f>5606</f>
        <v>5606</v>
      </c>
      <c r="D61" s="32" t="s">
        <v>61</v>
      </c>
      <c r="E61" s="32">
        <f>41</f>
        <v>41</v>
      </c>
      <c r="F61" s="32" t="s">
        <v>61</v>
      </c>
      <c r="G61" s="32">
        <v>124</v>
      </c>
      <c r="H61" s="34">
        <f t="shared" si="1"/>
        <v>5771</v>
      </c>
    </row>
    <row r="62" spans="2:8" ht="14.5" x14ac:dyDescent="0.35">
      <c r="B62" s="8" t="s">
        <v>26</v>
      </c>
      <c r="C62" s="31">
        <f>115</f>
        <v>115</v>
      </c>
      <c r="D62" s="32" t="s">
        <v>61</v>
      </c>
      <c r="E62" s="32" t="s">
        <v>61</v>
      </c>
      <c r="F62" s="32" t="s">
        <v>61</v>
      </c>
      <c r="G62" s="32" t="s">
        <v>61</v>
      </c>
      <c r="H62" s="34">
        <f t="shared" si="1"/>
        <v>115</v>
      </c>
    </row>
    <row r="63" spans="2:8" ht="14.5" x14ac:dyDescent="0.35">
      <c r="B63" s="8" t="s">
        <v>49</v>
      </c>
      <c r="C63" s="31">
        <f>226</f>
        <v>226</v>
      </c>
      <c r="D63" s="32" t="s">
        <v>61</v>
      </c>
      <c r="E63" s="32" t="s">
        <v>61</v>
      </c>
      <c r="F63" s="32" t="s">
        <v>61</v>
      </c>
      <c r="G63" s="32">
        <f>3</f>
        <v>3</v>
      </c>
      <c r="H63" s="34">
        <f t="shared" si="1"/>
        <v>229</v>
      </c>
    </row>
    <row r="64" spans="2:8" ht="14.5" x14ac:dyDescent="0.35">
      <c r="B64" s="8" t="s">
        <v>36</v>
      </c>
      <c r="C64" s="31">
        <v>1</v>
      </c>
      <c r="D64" s="32" t="s">
        <v>61</v>
      </c>
      <c r="E64" s="32" t="s">
        <v>61</v>
      </c>
      <c r="F64" s="32" t="s">
        <v>61</v>
      </c>
      <c r="G64" s="32" t="s">
        <v>61</v>
      </c>
      <c r="H64" s="34">
        <f t="shared" si="1"/>
        <v>1</v>
      </c>
    </row>
    <row r="65" spans="2:8" ht="14.5" x14ac:dyDescent="0.35">
      <c r="B65" s="8" t="s">
        <v>68</v>
      </c>
      <c r="C65" s="31">
        <v>8</v>
      </c>
      <c r="D65" s="32" t="s">
        <v>61</v>
      </c>
      <c r="E65" s="32" t="s">
        <v>61</v>
      </c>
      <c r="F65" s="32" t="s">
        <v>61</v>
      </c>
      <c r="G65" s="32">
        <f>2</f>
        <v>2</v>
      </c>
      <c r="H65" s="34">
        <f t="shared" si="1"/>
        <v>10</v>
      </c>
    </row>
    <row r="66" spans="2:8" ht="14.5" x14ac:dyDescent="0.35">
      <c r="B66" s="8" t="s">
        <v>30</v>
      </c>
      <c r="C66" s="31">
        <f>1</f>
        <v>1</v>
      </c>
      <c r="D66" s="32" t="s">
        <v>61</v>
      </c>
      <c r="E66" s="32" t="s">
        <v>61</v>
      </c>
      <c r="F66" s="32" t="s">
        <v>61</v>
      </c>
      <c r="G66" s="32" t="s">
        <v>61</v>
      </c>
      <c r="H66" s="34">
        <f t="shared" si="1"/>
        <v>1</v>
      </c>
    </row>
    <row r="67" spans="2:8" ht="14.5" x14ac:dyDescent="0.35">
      <c r="B67" s="8" t="s">
        <v>9</v>
      </c>
      <c r="C67" s="31">
        <f>2</f>
        <v>2</v>
      </c>
      <c r="D67" s="32" t="s">
        <v>61</v>
      </c>
      <c r="E67" s="32" t="s">
        <v>61</v>
      </c>
      <c r="F67" s="32" t="s">
        <v>61</v>
      </c>
      <c r="G67" s="32" t="s">
        <v>61</v>
      </c>
      <c r="H67" s="34">
        <f t="shared" si="1"/>
        <v>2</v>
      </c>
    </row>
    <row r="68" spans="2:8" ht="14.5" x14ac:dyDescent="0.35">
      <c r="B68" s="9" t="s">
        <v>101</v>
      </c>
      <c r="C68" s="31">
        <v>21</v>
      </c>
      <c r="D68" s="32">
        <f>11</f>
        <v>11</v>
      </c>
      <c r="E68" s="32" t="s">
        <v>61</v>
      </c>
      <c r="F68" s="32" t="s">
        <v>61</v>
      </c>
      <c r="G68" s="32">
        <f>487</f>
        <v>487</v>
      </c>
      <c r="H68" s="34">
        <f t="shared" si="1"/>
        <v>519</v>
      </c>
    </row>
    <row r="69" spans="2:8" ht="14.5" x14ac:dyDescent="0.35">
      <c r="B69" s="8" t="s">
        <v>21</v>
      </c>
      <c r="C69" s="31">
        <f>2881</f>
        <v>2881</v>
      </c>
      <c r="D69" s="32" t="s">
        <v>61</v>
      </c>
      <c r="E69" s="32">
        <f>24</f>
        <v>24</v>
      </c>
      <c r="F69" s="32" t="s">
        <v>61</v>
      </c>
      <c r="G69" s="32">
        <f>16</f>
        <v>16</v>
      </c>
      <c r="H69" s="34">
        <f t="shared" si="1"/>
        <v>2921</v>
      </c>
    </row>
    <row r="70" spans="2:8" ht="14.5" x14ac:dyDescent="0.35">
      <c r="B70" s="8" t="s">
        <v>111</v>
      </c>
      <c r="C70" s="31">
        <f>4</f>
        <v>4</v>
      </c>
      <c r="D70" s="32" t="s">
        <v>61</v>
      </c>
      <c r="E70" s="32" t="s">
        <v>61</v>
      </c>
      <c r="F70" s="32" t="s">
        <v>61</v>
      </c>
      <c r="G70" s="32" t="s">
        <v>61</v>
      </c>
      <c r="H70" s="34">
        <f t="shared" si="1"/>
        <v>4</v>
      </c>
    </row>
    <row r="71" spans="2:8" ht="14.5" x14ac:dyDescent="0.35">
      <c r="B71" s="8" t="s">
        <v>10</v>
      </c>
      <c r="C71" s="31">
        <f>661</f>
        <v>661</v>
      </c>
      <c r="D71" s="32">
        <f>183</f>
        <v>183</v>
      </c>
      <c r="E71" s="32">
        <f>151</f>
        <v>151</v>
      </c>
      <c r="F71" s="32">
        <f>18</f>
        <v>18</v>
      </c>
      <c r="G71" s="32">
        <f>484</f>
        <v>484</v>
      </c>
      <c r="H71" s="34">
        <f t="shared" si="1"/>
        <v>1497</v>
      </c>
    </row>
    <row r="72" spans="2:8" ht="14.5" x14ac:dyDescent="0.35">
      <c r="B72" s="9" t="s">
        <v>102</v>
      </c>
      <c r="C72" s="31">
        <f>1</f>
        <v>1</v>
      </c>
      <c r="D72" s="32" t="s">
        <v>61</v>
      </c>
      <c r="E72" s="32" t="s">
        <v>61</v>
      </c>
      <c r="F72" s="32" t="s">
        <v>61</v>
      </c>
      <c r="G72" s="32" t="s">
        <v>61</v>
      </c>
      <c r="H72" s="34">
        <f t="shared" si="1"/>
        <v>1</v>
      </c>
    </row>
    <row r="73" spans="2:8" ht="14.5" x14ac:dyDescent="0.35">
      <c r="B73" s="8" t="s">
        <v>39</v>
      </c>
      <c r="C73" s="31">
        <f>1</f>
        <v>1</v>
      </c>
      <c r="D73" s="32" t="s">
        <v>61</v>
      </c>
      <c r="E73" s="32" t="s">
        <v>61</v>
      </c>
      <c r="F73" s="32" t="s">
        <v>61</v>
      </c>
      <c r="G73" s="32">
        <f>1</f>
        <v>1</v>
      </c>
      <c r="H73" s="34">
        <f t="shared" si="1"/>
        <v>2</v>
      </c>
    </row>
    <row r="74" spans="2:8" ht="14.5" x14ac:dyDescent="0.35">
      <c r="B74" s="9" t="s">
        <v>100</v>
      </c>
      <c r="C74" s="31" t="s">
        <v>61</v>
      </c>
      <c r="D74" s="32" t="s">
        <v>61</v>
      </c>
      <c r="E74" s="32" t="s">
        <v>61</v>
      </c>
      <c r="F74" s="32" t="s">
        <v>61</v>
      </c>
      <c r="G74" s="32">
        <f>1</f>
        <v>1</v>
      </c>
      <c r="H74" s="34">
        <f t="shared" si="1"/>
        <v>1</v>
      </c>
    </row>
    <row r="75" spans="2:8" ht="14.5" x14ac:dyDescent="0.35">
      <c r="B75" s="8" t="s">
        <v>29</v>
      </c>
      <c r="C75" s="31">
        <f>1</f>
        <v>1</v>
      </c>
      <c r="D75" s="32" t="s">
        <v>61</v>
      </c>
      <c r="E75" s="32" t="s">
        <v>61</v>
      </c>
      <c r="F75" s="32" t="s">
        <v>61</v>
      </c>
      <c r="G75" s="32" t="s">
        <v>61</v>
      </c>
      <c r="H75" s="34">
        <f t="shared" si="1"/>
        <v>1</v>
      </c>
    </row>
    <row r="76" spans="2:8" ht="14.5" x14ac:dyDescent="0.35">
      <c r="B76" s="8" t="s">
        <v>40</v>
      </c>
      <c r="C76" s="31">
        <f>2</f>
        <v>2</v>
      </c>
      <c r="D76" s="32" t="s">
        <v>61</v>
      </c>
      <c r="E76" s="32" t="s">
        <v>61</v>
      </c>
      <c r="F76" s="32" t="s">
        <v>61</v>
      </c>
      <c r="G76" s="32" t="s">
        <v>61</v>
      </c>
      <c r="H76" s="34">
        <f t="shared" si="1"/>
        <v>2</v>
      </c>
    </row>
    <row r="77" spans="2:8" ht="14.5" x14ac:dyDescent="0.35">
      <c r="B77" s="8" t="s">
        <v>27</v>
      </c>
      <c r="C77" s="31">
        <v>0</v>
      </c>
      <c r="D77" s="32" t="s">
        <v>61</v>
      </c>
      <c r="E77" s="32" t="s">
        <v>61</v>
      </c>
      <c r="F77" s="32" t="s">
        <v>61</v>
      </c>
      <c r="G77" s="32">
        <f>255</f>
        <v>255</v>
      </c>
      <c r="H77" s="34">
        <f t="shared" si="1"/>
        <v>255</v>
      </c>
    </row>
    <row r="78" spans="2:8" ht="14.5" x14ac:dyDescent="0.35">
      <c r="B78" s="8" t="s">
        <v>19</v>
      </c>
      <c r="C78" s="31">
        <f>25</f>
        <v>25</v>
      </c>
      <c r="D78" s="32" t="s">
        <v>61</v>
      </c>
      <c r="E78" s="32" t="s">
        <v>61</v>
      </c>
      <c r="F78" s="32" t="s">
        <v>61</v>
      </c>
      <c r="G78" s="32">
        <v>4</v>
      </c>
      <c r="H78" s="34">
        <f t="shared" si="1"/>
        <v>29</v>
      </c>
    </row>
    <row r="79" spans="2:8" ht="14.5" x14ac:dyDescent="0.35">
      <c r="B79" s="8" t="s">
        <v>54</v>
      </c>
      <c r="C79" s="31">
        <f>15</f>
        <v>15</v>
      </c>
      <c r="D79" s="32" t="s">
        <v>61</v>
      </c>
      <c r="E79" s="32" t="s">
        <v>61</v>
      </c>
      <c r="F79" s="32" t="s">
        <v>61</v>
      </c>
      <c r="G79" s="32" t="s">
        <v>61</v>
      </c>
      <c r="H79" s="34">
        <f t="shared" si="1"/>
        <v>15</v>
      </c>
    </row>
    <row r="80" spans="2:8" ht="14.5" x14ac:dyDescent="0.35">
      <c r="B80" s="8" t="s">
        <v>8</v>
      </c>
      <c r="C80" s="31" t="s">
        <v>61</v>
      </c>
      <c r="D80" s="32" t="s">
        <v>61</v>
      </c>
      <c r="E80" s="32" t="s">
        <v>61</v>
      </c>
      <c r="F80" s="32" t="s">
        <v>61</v>
      </c>
      <c r="G80" s="32">
        <v>3</v>
      </c>
      <c r="H80" s="34">
        <f t="shared" si="1"/>
        <v>3</v>
      </c>
    </row>
    <row r="81" spans="2:8" ht="14.5" x14ac:dyDescent="0.35">
      <c r="B81" s="8" t="s">
        <v>16</v>
      </c>
      <c r="C81" s="31">
        <f>1</f>
        <v>1</v>
      </c>
      <c r="D81" s="32" t="s">
        <v>61</v>
      </c>
      <c r="E81" s="32" t="s">
        <v>61</v>
      </c>
      <c r="F81" s="32" t="s">
        <v>61</v>
      </c>
      <c r="G81" s="32">
        <v>0</v>
      </c>
      <c r="H81" s="34">
        <f t="shared" si="1"/>
        <v>1</v>
      </c>
    </row>
    <row r="82" spans="2:8" ht="14.5" x14ac:dyDescent="0.35">
      <c r="B82" s="8" t="s">
        <v>48</v>
      </c>
      <c r="C82" s="31" t="s">
        <v>61</v>
      </c>
      <c r="D82" s="32" t="s">
        <v>61</v>
      </c>
      <c r="E82" s="32" t="s">
        <v>61</v>
      </c>
      <c r="F82" s="32" t="s">
        <v>61</v>
      </c>
      <c r="G82" s="32">
        <f>3</f>
        <v>3</v>
      </c>
      <c r="H82" s="34">
        <f t="shared" si="1"/>
        <v>3</v>
      </c>
    </row>
    <row r="83" spans="2:8" ht="14.5" x14ac:dyDescent="0.35">
      <c r="B83" s="8" t="s">
        <v>65</v>
      </c>
      <c r="C83" s="31">
        <f>46093+5+1+223</f>
        <v>46322</v>
      </c>
      <c r="D83" s="32">
        <f>14492+2134+76+6+24+4</f>
        <v>16736</v>
      </c>
      <c r="E83" s="32">
        <f>3460+4+151</f>
        <v>3615</v>
      </c>
      <c r="F83" s="32">
        <f>62+11</f>
        <v>73</v>
      </c>
      <c r="G83" s="32">
        <f>1781+10</f>
        <v>1791</v>
      </c>
      <c r="H83" s="34">
        <f t="shared" si="1"/>
        <v>68537</v>
      </c>
    </row>
    <row r="84" spans="2:8" ht="14.5" x14ac:dyDescent="0.35">
      <c r="B84" s="8" t="s">
        <v>97</v>
      </c>
      <c r="C84" s="31">
        <v>22</v>
      </c>
      <c r="D84" s="32">
        <f>30</f>
        <v>30</v>
      </c>
      <c r="E84" s="32">
        <f>2</f>
        <v>2</v>
      </c>
      <c r="F84" s="32" t="s">
        <v>61</v>
      </c>
      <c r="G84" s="32" t="s">
        <v>61</v>
      </c>
      <c r="H84" s="34">
        <f t="shared" si="1"/>
        <v>54</v>
      </c>
    </row>
    <row r="85" spans="2:8" thickBot="1" x14ac:dyDescent="0.4">
      <c r="B85" s="12" t="s">
        <v>22</v>
      </c>
      <c r="C85" s="42">
        <f>1</f>
        <v>1</v>
      </c>
      <c r="D85" s="35" t="s">
        <v>61</v>
      </c>
      <c r="E85" s="35" t="s">
        <v>61</v>
      </c>
      <c r="F85" s="35" t="s">
        <v>61</v>
      </c>
      <c r="G85" s="35" t="s">
        <v>61</v>
      </c>
      <c r="H85" s="38">
        <f t="shared" si="1"/>
        <v>1</v>
      </c>
    </row>
    <row r="86" spans="2:8" ht="35.25" customHeight="1" thickBot="1" x14ac:dyDescent="0.4">
      <c r="B86" s="11" t="s">
        <v>0</v>
      </c>
      <c r="C86" s="41">
        <f>SUM(C5:C85)</f>
        <v>66679.070000000007</v>
      </c>
      <c r="D86" s="36">
        <f>SUM(D5:D85)</f>
        <v>27779</v>
      </c>
      <c r="E86" s="36">
        <f>SUM(E5:E85)</f>
        <v>6698</v>
      </c>
      <c r="F86" s="36">
        <f>SUM(F5:F85)</f>
        <v>91</v>
      </c>
      <c r="G86" s="36">
        <f>SUM(G5:G85)</f>
        <v>5855</v>
      </c>
      <c r="H86" s="37">
        <f>SUM(C86:G86)</f>
        <v>107102.07</v>
      </c>
    </row>
    <row r="87" spans="2:8" ht="14.25" customHeight="1" thickTop="1" x14ac:dyDescent="0.35"/>
    <row r="88" spans="2:8" ht="15" customHeight="1" x14ac:dyDescent="0.35">
      <c r="C88"/>
      <c r="D88"/>
      <c r="E88"/>
      <c r="F88"/>
      <c r="G88"/>
    </row>
    <row r="89" spans="2:8" ht="15" customHeight="1" x14ac:dyDescent="0.35">
      <c r="C89"/>
      <c r="D89"/>
      <c r="E89"/>
      <c r="F89"/>
      <c r="G89"/>
    </row>
    <row r="90" spans="2:8" ht="15" customHeight="1" x14ac:dyDescent="0.35">
      <c r="C90"/>
      <c r="D90"/>
      <c r="E90"/>
      <c r="F90"/>
      <c r="G90"/>
    </row>
    <row r="91" spans="2:8" ht="15" customHeight="1" x14ac:dyDescent="0.35">
      <c r="C91"/>
      <c r="D91"/>
      <c r="E91"/>
      <c r="F91"/>
      <c r="G91"/>
    </row>
    <row r="92" spans="2:8" ht="15" customHeight="1" x14ac:dyDescent="0.35">
      <c r="C92"/>
      <c r="D92"/>
      <c r="E92"/>
      <c r="F92"/>
      <c r="G92"/>
    </row>
    <row r="93" spans="2:8" ht="15" customHeight="1" x14ac:dyDescent="0.35">
      <c r="C93"/>
      <c r="D93"/>
      <c r="E93"/>
      <c r="F93"/>
      <c r="G93"/>
    </row>
    <row r="94" spans="2:8" ht="15" customHeight="1" x14ac:dyDescent="0.35">
      <c r="H94" s="6"/>
    </row>
    <row r="96" spans="2:8" ht="15" customHeight="1" x14ac:dyDescent="0.35">
      <c r="H96" s="17"/>
    </row>
    <row r="98" spans="8:8" ht="15" customHeight="1" x14ac:dyDescent="0.35">
      <c r="H98" s="39"/>
    </row>
  </sheetData>
  <mergeCells count="1">
    <mergeCell ref="C3:H3"/>
  </mergeCells>
  <pageMargins left="0.45" right="0.45" top="0.25" bottom="0.5" header="0.3" footer="0.3"/>
  <pageSetup paperSize="5" scale="70" orientation="portrait" r:id="rId1"/>
  <headerFooter>
    <oddFooter>&amp;L&amp;8
&amp;Z&amp;F
&amp;Z&amp;F&amp;R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Details for Feb. 2023</vt:lpstr>
      <vt:lpstr>Summary!Print_Area</vt:lpstr>
      <vt:lpstr>'Details for Feb. 2023'!Print_Titles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Saladi, Monica</cp:lastModifiedBy>
  <cp:lastPrinted>2023-03-15T18:21:49Z</cp:lastPrinted>
  <dcterms:created xsi:type="dcterms:W3CDTF">2015-04-16T18:15:29Z</dcterms:created>
  <dcterms:modified xsi:type="dcterms:W3CDTF">2023-03-16T01:37:41Z</dcterms:modified>
</cp:coreProperties>
</file>