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80" yWindow="15" windowWidth="13350" windowHeight="10830" tabRatio="925" activeTab="0"/>
  </bookViews>
  <sheets>
    <sheet name="TABLE of CONTENTS" sheetId="1" r:id="rId1"/>
    <sheet name="City Approved" sheetId="2" r:id="rId2"/>
    <sheet name="Revenue Modifications" sheetId="3" r:id="rId3"/>
    <sheet name="Year-End Commitments-Bar Graph" sheetId="4" r:id="rId4"/>
    <sheet name="Revenue Budget Update_1 of 4" sheetId="5" r:id="rId5"/>
    <sheet name="Revenue Budget Update_2 of 4" sheetId="6" r:id="rId6"/>
    <sheet name="Revenue Budget Update_3 of 4" sheetId="7" r:id="rId7"/>
    <sheet name="Revenue Budget Update_4 of 4" sheetId="8" r:id="rId8"/>
    <sheet name="Claims_1 of 3" sheetId="9" r:id="rId9"/>
    <sheet name="Claims_2 of 3" sheetId="10" r:id="rId10"/>
    <sheet name="Claims_3 of 3" sheetId="11" r:id="rId11"/>
    <sheet name="Historical Bar Graph" sheetId="12" r:id="rId12"/>
    <sheet name="Historical Pie Graph" sheetId="13" r:id="rId13"/>
    <sheet name="YTD Commitments-PS &amp; OTPS by UA" sheetId="14" r:id="rId14"/>
    <sheet name="YTD Commitments-PS by object" sheetId="15" r:id="rId15"/>
    <sheet name="YTD Commitments-OTPS by object" sheetId="16" r:id="rId16"/>
    <sheet name="Current HC - Tax Levy &amp; Reimb." sheetId="17" r:id="rId17"/>
    <sheet name="Current HC - Tax Levy &amp; Central" sheetId="18" r:id="rId18"/>
    <sheet name="Current HC - Categorical Pgms" sheetId="19" r:id="rId19"/>
    <sheet name="FY15 Summary-TL &amp; Reimbursable" sheetId="20" r:id="rId20"/>
    <sheet name="FY15 Summary-TL Central Offices" sheetId="21" r:id="rId21"/>
    <sheet name="FY15 Summary-Categorical Pgms" sheetId="22" r:id="rId22"/>
    <sheet name="FY2016 YTD Commitments by UA" sheetId="23" r:id="rId23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1">'City Approved'!$A$1:$I$57</definedName>
    <definedName name="_xlnm.Print_Area" localSheetId="8">'Claims_1 of 3'!$A$11:$G$50</definedName>
    <definedName name="_xlnm.Print_Area" localSheetId="9">'Claims_2 of 3'!$A$10:$G$42</definedName>
    <definedName name="_xlnm.Print_Area" localSheetId="10">'Claims_3 of 3'!$A$10:$G$25</definedName>
    <definedName name="_xlnm.Print_Area" localSheetId="18">'Current HC - Categorical Pgms'!$A$1:$O$43</definedName>
    <definedName name="_xlnm.Print_Area" localSheetId="17">'Current HC - Tax Levy &amp; Central'!$A$1:$O$70</definedName>
    <definedName name="_xlnm.Print_Area" localSheetId="21">'FY15 Summary-Categorical Pgms'!$A$1:$L$26</definedName>
    <definedName name="_xlnm.Print_Area" localSheetId="19">'FY15 Summary-TL &amp; Reimbursable'!$A$1:$L$40</definedName>
    <definedName name="_xlnm.Print_Area" localSheetId="20">'FY15 Summary-TL Central Offices'!$A$1:$N$49</definedName>
    <definedName name="_xlnm.Print_Area" localSheetId="22">'FY2016 YTD Commitments by UA'!$A$1:$F$87</definedName>
    <definedName name="_xlnm.Print_Area" localSheetId="11">'Historical Bar Graph'!$A$1:$M$40</definedName>
    <definedName name="_xlnm.Print_Area" localSheetId="12">'Historical Pie Graph'!$A$1:$J$69</definedName>
    <definedName name="_xlnm.Print_Area" localSheetId="4">'Revenue Budget Update_1 of 4'!$A$11:$F$52</definedName>
    <definedName name="_xlnm.Print_Area" localSheetId="5">'Revenue Budget Update_2 of 4'!$A$12:$F$42</definedName>
    <definedName name="_xlnm.Print_Area" localSheetId="6">'Revenue Budget Update_3 of 4'!$A$1:$F$54</definedName>
    <definedName name="_xlnm.Print_Area" localSheetId="7">'Revenue Budget Update_4 of 4'!$A$12:$F$38</definedName>
    <definedName name="_xlnm.Print_Area" localSheetId="2">'Revenue Modifications'!$A$1:$F$46</definedName>
    <definedName name="_xlnm.Print_Area" localSheetId="0">'TABLE of CONTENTS'!$B$1:$E$41</definedName>
    <definedName name="_xlnm.Print_Area" localSheetId="3">'Year-End Commitments-Bar Graph'!$A$1:$M$37</definedName>
    <definedName name="_xlnm.Print_Area" localSheetId="15">'YTD Commitments-OTPS by object'!$A$1:$F$64</definedName>
    <definedName name="_xlnm.Print_Area" localSheetId="13">'YTD Commitments-PS &amp; OTPS by UA'!$A$1:$F$82</definedName>
    <definedName name="_xlnm.Print_Area" localSheetId="14">'YTD Commitments-PS by object'!$A$1:$E$48</definedName>
    <definedName name="_xlnm.Print_Titles" localSheetId="8">'Claims_1 of 3'!$1:$9</definedName>
    <definedName name="_xlnm.Print_Titles" localSheetId="9">'Claims_2 of 3'!$1:$9</definedName>
    <definedName name="_xlnm.Print_Titles" localSheetId="10">'Claims_3 of 3'!$1:$9</definedName>
    <definedName name="_xlnm.Print_Titles" localSheetId="4">'Revenue Budget Update_1 of 4'!$1:$10</definedName>
    <definedName name="_xlnm.Print_Titles" localSheetId="5">'Revenue Budget Update_2 of 4'!$1:$11</definedName>
    <definedName name="_xlnm.Print_Titles" localSheetId="6">'Revenue Budget Update_3 of 4'!$1:$11</definedName>
    <definedName name="_xlnm.Print_Titles" localSheetId="7">'Revenue Budget Update_4 of 4'!$1:$11</definedName>
    <definedName name="_xlnm.Print_Titles" localSheetId="15">'YTD Commitments-OTPS by object'!$1:$4</definedName>
    <definedName name="_xlnm.Print_Titles" localSheetId="13">'YTD Commitments-PS &amp; OTPS by UA'!$1:$6</definedName>
    <definedName name="_xlnm.Print_Titles" localSheetId="14">'YTD Commitments-PS by object'!$1:$6</definedName>
  </definedNames>
  <calcPr fullCalcOnLoad="1"/>
</workbook>
</file>

<file path=xl/sharedStrings.xml><?xml version="1.0" encoding="utf-8"?>
<sst xmlns="http://schemas.openxmlformats.org/spreadsheetml/2006/main" count="1255" uniqueCount="664">
  <si>
    <t>AID FOR ACADEMIC ACHIEVEMENT</t>
  </si>
  <si>
    <t>Current Approved Budget Condition</t>
  </si>
  <si>
    <t xml:space="preserve"> </t>
  </si>
  <si>
    <t>Adopted</t>
  </si>
  <si>
    <t>Approved</t>
  </si>
  <si>
    <t>Unit of Appropriation</t>
  </si>
  <si>
    <t>Budget</t>
  </si>
  <si>
    <t>Modifications</t>
  </si>
  <si>
    <t>TOTAL Tax-levy Funding</t>
  </si>
  <si>
    <t>Categorical Programs PS</t>
  </si>
  <si>
    <t>Categorical Programs OTPS</t>
  </si>
  <si>
    <t>TOTAL Categorical Programs</t>
  </si>
  <si>
    <t>G R A N D    T O T A L</t>
  </si>
  <si>
    <t>Plus:</t>
  </si>
  <si>
    <t>Other System-Wide Obligations</t>
  </si>
  <si>
    <t>Collective Bargaining</t>
  </si>
  <si>
    <t>($ thousands)</t>
  </si>
  <si>
    <t>Revenue</t>
  </si>
  <si>
    <t>Source</t>
  </si>
  <si>
    <t>Description</t>
  </si>
  <si>
    <t>Estimate</t>
  </si>
  <si>
    <t>STATE FUNDS</t>
  </si>
  <si>
    <t>General Support Aids</t>
  </si>
  <si>
    <t>TRANSPORTATION AID</t>
  </si>
  <si>
    <t>PRIVATE EXCESS COST AID</t>
  </si>
  <si>
    <t>CAREER EDUCATION</t>
  </si>
  <si>
    <t>COMPUTER ADMINISTRATION AID</t>
  </si>
  <si>
    <t xml:space="preserve">HIGH COST AID </t>
  </si>
  <si>
    <t>BUILDING AID - SCA</t>
  </si>
  <si>
    <t>BUILDING AID - LEASES</t>
  </si>
  <si>
    <t>Sub-Total - General Support Aids</t>
  </si>
  <si>
    <t>Restricted/Categorical Aids</t>
  </si>
  <si>
    <t xml:space="preserve">SCHOOL LUNCH </t>
  </si>
  <si>
    <t>SPECIAL GRANTS - MISCELLANEOUS</t>
  </si>
  <si>
    <t>TEXTBOOKS</t>
  </si>
  <si>
    <t>PRE-K HANDICAPPED</t>
  </si>
  <si>
    <t>COMPUTER HARDWARE AID</t>
  </si>
  <si>
    <t>LIBRARY MATERIALS AID</t>
  </si>
  <si>
    <t>CHAPTER 721 REIMBURSEMENT</t>
  </si>
  <si>
    <t>SUMMER HANDICAPPED AID</t>
  </si>
  <si>
    <t>SCHOOL BREAKFAST</t>
  </si>
  <si>
    <t>29621</t>
  </si>
  <si>
    <t>Sub-Total - Restricted/Categorical Aids</t>
  </si>
  <si>
    <t>Total - State Funds</t>
  </si>
  <si>
    <t>FEDERAL FUNDS</t>
  </si>
  <si>
    <t>13901</t>
  </si>
  <si>
    <t>13902</t>
  </si>
  <si>
    <t>13905</t>
  </si>
  <si>
    <t>VOCATIONAL EDUCATION</t>
  </si>
  <si>
    <t>13907</t>
  </si>
  <si>
    <t>SCHOOL BREAKFAST PROGRAM</t>
  </si>
  <si>
    <t>ECIA TITLE I</t>
  </si>
  <si>
    <t>FEDERAL MISCELLANEOUS GRANTS</t>
  </si>
  <si>
    <t>13915</t>
  </si>
  <si>
    <t>IDEA - PROGRAMS FOR THE DISABLED</t>
  </si>
  <si>
    <t>13916</t>
  </si>
  <si>
    <t>SUMMER FEEDING PROGRAM</t>
  </si>
  <si>
    <t>13926</t>
  </si>
  <si>
    <t>13927</t>
  </si>
  <si>
    <t>EESA TITLE VII - MAGNET SCHOOLS</t>
  </si>
  <si>
    <t>NON-RESIDENT TUITION</t>
  </si>
  <si>
    <t>Revenue Budget</t>
  </si>
  <si>
    <t>COMPUTER SOFTWARE AID</t>
  </si>
  <si>
    <t>FEDERAL SCHOOL LUNCH</t>
  </si>
  <si>
    <t>13912</t>
  </si>
  <si>
    <t>13914</t>
  </si>
  <si>
    <t>13919</t>
  </si>
  <si>
    <t xml:space="preserve">INTRA - CITY </t>
  </si>
  <si>
    <t>00595</t>
  </si>
  <si>
    <t>00596</t>
  </si>
  <si>
    <t xml:space="preserve">MISCELLANEOUS FEES &amp; GRANTS </t>
  </si>
  <si>
    <t>00460</t>
  </si>
  <si>
    <t>EDUC. SERVICE FEES (School Lunch)</t>
  </si>
  <si>
    <t>00760</t>
  </si>
  <si>
    <t>RENTALS (Extended Use of School Buildings)</t>
  </si>
  <si>
    <t>00859</t>
  </si>
  <si>
    <t>SUNDRIES (UFT Fees Misc. Coll. Refunds)</t>
  </si>
  <si>
    <t>GRANT REFUNDS</t>
  </si>
  <si>
    <t>OTHER CATEGORICAL</t>
  </si>
  <si>
    <t>41900</t>
  </si>
  <si>
    <t>Total Revenue</t>
  </si>
  <si>
    <t>City Tax-Levy Funding</t>
  </si>
  <si>
    <t>Total Adjustments</t>
  </si>
  <si>
    <t>C U R R E N T    O P E R A T I N G    B U D G E T</t>
  </si>
  <si>
    <t>TEACHERS FOR TOMORROW</t>
  </si>
  <si>
    <t>Department of Education of the City of New York</t>
  </si>
  <si>
    <t>OTPS Budget Categories</t>
  </si>
  <si>
    <t>Percent</t>
  </si>
  <si>
    <t>Balance</t>
  </si>
  <si>
    <t>Year-to-Date</t>
  </si>
  <si>
    <t>Available</t>
  </si>
  <si>
    <t>100</t>
  </si>
  <si>
    <t>Supplies &amp; Materials - General</t>
  </si>
  <si>
    <t>109</t>
  </si>
  <si>
    <t>Fuel Oil</t>
  </si>
  <si>
    <t>110</t>
  </si>
  <si>
    <t>Food and Forage Supplies</t>
  </si>
  <si>
    <t>199</t>
  </si>
  <si>
    <t>Data Processing Supplies</t>
  </si>
  <si>
    <t>300</t>
  </si>
  <si>
    <t>Equipment</t>
  </si>
  <si>
    <t>337</t>
  </si>
  <si>
    <t>Text Books</t>
  </si>
  <si>
    <t>338</t>
  </si>
  <si>
    <t>Library Books</t>
  </si>
  <si>
    <t>400</t>
  </si>
  <si>
    <t>Non-Contractual Services</t>
  </si>
  <si>
    <t>402</t>
  </si>
  <si>
    <t>Telephone &amp; Other Communications</t>
  </si>
  <si>
    <t>414</t>
  </si>
  <si>
    <t>Rentals - Land, Building and Structures</t>
  </si>
  <si>
    <t>423</t>
  </si>
  <si>
    <t>Heat, Light and Power Services</t>
  </si>
  <si>
    <t>600</t>
  </si>
  <si>
    <t>Contractual Services - General</t>
  </si>
  <si>
    <t>602</t>
  </si>
  <si>
    <t>Telecommunication Maintenance - Contractual</t>
  </si>
  <si>
    <t>607</t>
  </si>
  <si>
    <t>Maintenance &amp; Repairs - Motor Vehicle - Contract.</t>
  </si>
  <si>
    <t>612</t>
  </si>
  <si>
    <t>Office Equipment Maintenance - Contractual</t>
  </si>
  <si>
    <t>613</t>
  </si>
  <si>
    <t>Data Processing Equip. - Maintenance &amp; Repair</t>
  </si>
  <si>
    <t>615</t>
  </si>
  <si>
    <t>Printing Contracts - Contractual</t>
  </si>
  <si>
    <t>619</t>
  </si>
  <si>
    <t>Security Services - Contractual</t>
  </si>
  <si>
    <t>622</t>
  </si>
  <si>
    <t>Temporary Services - Contractual</t>
  </si>
  <si>
    <t>624</t>
  </si>
  <si>
    <t>Cleaning Services - Contractual</t>
  </si>
  <si>
    <t>633</t>
  </si>
  <si>
    <t>Transportation Expenditures - Contractual</t>
  </si>
  <si>
    <t>668</t>
  </si>
  <si>
    <t>Transportation for Reimbursable Programs</t>
  </si>
  <si>
    <t>669</t>
  </si>
  <si>
    <t>Transportation of Pupils - Contractual</t>
  </si>
  <si>
    <t>670</t>
  </si>
  <si>
    <t>Payments to Contract Schools (Handicapped Svc)</t>
  </si>
  <si>
    <t>671</t>
  </si>
  <si>
    <t>Training Programs for City Employees - Contract.</t>
  </si>
  <si>
    <t>676</t>
  </si>
  <si>
    <t>Maintenance &amp; Repair - Infrastructure - Contractual</t>
  </si>
  <si>
    <t>681</t>
  </si>
  <si>
    <t>Accounting, Auditing, and Actuarial Svcs. - Cont.</t>
  </si>
  <si>
    <t>682</t>
  </si>
  <si>
    <t>Legal Services - Contractual</t>
  </si>
  <si>
    <t>683</t>
  </si>
  <si>
    <t>Engineering &amp; Architectural Services - Contractual</t>
  </si>
  <si>
    <t>684</t>
  </si>
  <si>
    <t>Data Processing Consultant Services</t>
  </si>
  <si>
    <t>685</t>
  </si>
  <si>
    <t>Professional Svcs. - Direct Educ. Svcs. to Students</t>
  </si>
  <si>
    <t>686</t>
  </si>
  <si>
    <t>Professional Svcs. - Other - Contractual</t>
  </si>
  <si>
    <t>689</t>
  </si>
  <si>
    <t>Professional Svcs. - Curricul. &amp; Profess. Develop.</t>
  </si>
  <si>
    <t>695</t>
  </si>
  <si>
    <t>Educ. &amp; Recreational Exp. - Youth Prog. - Contract.</t>
  </si>
  <si>
    <t>700</t>
  </si>
  <si>
    <t>Fixed Charges - General</t>
  </si>
  <si>
    <t>704</t>
  </si>
  <si>
    <t>Payments to Surety Bonds and Insurance</t>
  </si>
  <si>
    <t>718</t>
  </si>
  <si>
    <t>Payments for Special Schooling - Handicapped</t>
  </si>
  <si>
    <t>719</t>
  </si>
  <si>
    <t>Judgements &amp; Claims - Other</t>
  </si>
  <si>
    <t>730</t>
  </si>
  <si>
    <t>Tuition Payments for Out-of-City Foster Care</t>
  </si>
  <si>
    <t>731</t>
  </si>
  <si>
    <t>Health Service Charge - Out-of-City Foster Care</t>
  </si>
  <si>
    <t>772</t>
  </si>
  <si>
    <t>NYC Transit Authority  - Reduced Fares (Students)</t>
  </si>
  <si>
    <t>773</t>
  </si>
  <si>
    <t>Private Bus Comp. - Reduced Fares (Students)</t>
  </si>
  <si>
    <t>791</t>
  </si>
  <si>
    <t>Tuition Payments to Other School Districts</t>
  </si>
  <si>
    <t>793</t>
  </si>
  <si>
    <t>Payments to Fashion Institute of Technology</t>
  </si>
  <si>
    <t>794</t>
  </si>
  <si>
    <t>Training Program for City Employees</t>
  </si>
  <si>
    <t>TOTAL OTHER THAN PERSONAL SERVICE</t>
  </si>
  <si>
    <t>TOTAL FUNDS COMMITTED TO DEPARTMENT OF EDUCATION</t>
  </si>
  <si>
    <t xml:space="preserve"> New York City Department of Education</t>
  </si>
  <si>
    <t>Positions</t>
  </si>
  <si>
    <t>Year-to-Date Expenditures: Personal Service by Category</t>
  </si>
  <si>
    <t>Personal Service Budget Categories</t>
  </si>
  <si>
    <t>001</t>
  </si>
  <si>
    <t>Non-Pedagogic Personal Service</t>
  </si>
  <si>
    <t>005</t>
  </si>
  <si>
    <t>Pedagogic Personal Service</t>
  </si>
  <si>
    <t>021</t>
  </si>
  <si>
    <t>Part Time Positions in Headcount</t>
  </si>
  <si>
    <t>031</t>
  </si>
  <si>
    <t xml:space="preserve">Hourly Personal Service in FTEs </t>
  </si>
  <si>
    <t>035</t>
  </si>
  <si>
    <t xml:space="preserve">Custodial  </t>
  </si>
  <si>
    <t>040</t>
  </si>
  <si>
    <t>Educational Differential</t>
  </si>
  <si>
    <t>041</t>
  </si>
  <si>
    <t>Assignment Differential</t>
  </si>
  <si>
    <t>042</t>
  </si>
  <si>
    <t>Longevity Differential-pensionable</t>
  </si>
  <si>
    <t>043</t>
  </si>
  <si>
    <t>Shift Differential</t>
  </si>
  <si>
    <t>045</t>
  </si>
  <si>
    <t>Holiday Pay</t>
  </si>
  <si>
    <t>046</t>
  </si>
  <si>
    <t>Terminal Leave</t>
  </si>
  <si>
    <t>047</t>
  </si>
  <si>
    <t>Overtime</t>
  </si>
  <si>
    <t>049</t>
  </si>
  <si>
    <t>Back Pay - prior years</t>
  </si>
  <si>
    <t>050</t>
  </si>
  <si>
    <t>Payments - Beneficiaries Deceased Staff</t>
  </si>
  <si>
    <t>053</t>
  </si>
  <si>
    <t>To be Scheduled - Lump Sums</t>
  </si>
  <si>
    <t>054</t>
  </si>
  <si>
    <t>Salary Review Adjustments</t>
  </si>
  <si>
    <t>057</t>
  </si>
  <si>
    <t>058</t>
  </si>
  <si>
    <t>Prep Period Coverage</t>
  </si>
  <si>
    <t>060</t>
  </si>
  <si>
    <t>061</t>
  </si>
  <si>
    <t>Supper Money</t>
  </si>
  <si>
    <t>062</t>
  </si>
  <si>
    <t>Health Insurance</t>
  </si>
  <si>
    <t>063</t>
  </si>
  <si>
    <t>Disability Benefits Insurance</t>
  </si>
  <si>
    <t>064</t>
  </si>
  <si>
    <t>065</t>
  </si>
  <si>
    <t>Social Security</t>
  </si>
  <si>
    <t>066</t>
  </si>
  <si>
    <t>Unemployment Insurance</t>
  </si>
  <si>
    <t>067</t>
  </si>
  <si>
    <t>Welfare Benefits</t>
  </si>
  <si>
    <t>081</t>
  </si>
  <si>
    <t>Annuity for Pedagogues at Maximum</t>
  </si>
  <si>
    <t>085</t>
  </si>
  <si>
    <t>Workers' Compensation</t>
  </si>
  <si>
    <t>091</t>
  </si>
  <si>
    <t>095</t>
  </si>
  <si>
    <t>TOTAL PERSONAL SERVICE</t>
  </si>
  <si>
    <t>451</t>
  </si>
  <si>
    <t>Local Travel Expenditures - General</t>
  </si>
  <si>
    <t xml:space="preserve"> Department of Education of the City of New York</t>
  </si>
  <si>
    <t>COMMUNITY LEARNING CENTERS</t>
  </si>
  <si>
    <t>13941</t>
  </si>
  <si>
    <t xml:space="preserve">Current City  </t>
  </si>
  <si>
    <t xml:space="preserve">Approved </t>
  </si>
  <si>
    <t xml:space="preserve"> Modifications</t>
  </si>
  <si>
    <t>EESA TITLE II - PROFESSIONAL DEVELOPMENT</t>
  </si>
  <si>
    <t>Grand Total</t>
  </si>
  <si>
    <t xml:space="preserve">Sub-Total - Federal Funds </t>
  </si>
  <si>
    <t>Sub-Total -  Other Categorical</t>
  </si>
  <si>
    <t>Sub-Total -  Miscellaneous Fees &amp; Grants</t>
  </si>
  <si>
    <t>Sub-Total - Intra-City</t>
  </si>
  <si>
    <t>ADJUSTMENTS:</t>
  </si>
  <si>
    <t xml:space="preserve">Per Session </t>
  </si>
  <si>
    <t>FEDERAL DRUG ABUSE FUNDS</t>
  </si>
  <si>
    <t>PRIVATE GRANTS</t>
  </si>
  <si>
    <t>Citywide Special Ed Instruction &amp; School Leadership - PS</t>
  </si>
  <si>
    <t>Special Ed Instruction &amp; School Leadership PS</t>
  </si>
  <si>
    <t>Special Ed Instruction &amp; School Leadership OTPS</t>
  </si>
  <si>
    <t>General Ed Instruction &amp; School Leadership PS</t>
  </si>
  <si>
    <t>General Ed Instruction &amp; School Leadership OTPS</t>
  </si>
  <si>
    <t>Citywide Special Ed Instruction &amp; School Leadership - OTPS</t>
  </si>
  <si>
    <t>Special Ed Instructional Support - PS</t>
  </si>
  <si>
    <t>Special Ed Instructional Support - OTPS</t>
  </si>
  <si>
    <t>School Facilities - PS</t>
  </si>
  <si>
    <t>School Facilities - OTPS</t>
  </si>
  <si>
    <t>Pupil Transportation - OTPS</t>
  </si>
  <si>
    <t>School Food Services - PS</t>
  </si>
  <si>
    <t>School Food Services - OTPS</t>
  </si>
  <si>
    <t>School Safety -  OTPS</t>
  </si>
  <si>
    <t>Energy &amp; Leases - OTPS</t>
  </si>
  <si>
    <t>Central Administration - OTPS</t>
  </si>
  <si>
    <t>Central Administration - PS</t>
  </si>
  <si>
    <t>Fringe Benefits - PS</t>
  </si>
  <si>
    <t>Non-Public School and FIT Payments - OTPS</t>
  </si>
  <si>
    <t>Special Education Pre-K Contract Payments - OTPS</t>
  </si>
  <si>
    <t>SUPPLEMENTAL WELFARE BENEFITS</t>
  </si>
  <si>
    <t xml:space="preserve"> Department of Education of the City of New York </t>
  </si>
  <si>
    <t>Revenue Budget: Summary of Claims Submitted</t>
  </si>
  <si>
    <t>Claims</t>
  </si>
  <si>
    <t xml:space="preserve">Cash </t>
  </si>
  <si>
    <t>Percentage</t>
  </si>
  <si>
    <t>Submitted</t>
  </si>
  <si>
    <t>Applied</t>
  </si>
  <si>
    <t>Claimed</t>
  </si>
  <si>
    <t>BUILDING AID - BOE</t>
  </si>
  <si>
    <t>RETIREMENT BENEFITS (BERS)</t>
  </si>
  <si>
    <t>City</t>
  </si>
  <si>
    <t>OTPS</t>
  </si>
  <si>
    <t>Current City</t>
  </si>
  <si>
    <t>INTRA - CITY RENTALS (DCAS - School Rental)</t>
  </si>
  <si>
    <t>EMPLOYMENT PREPARATION for EDUCATION (EPE)</t>
  </si>
  <si>
    <t>PRE-K HANDICAPPED ADMINISTRATION</t>
  </si>
  <si>
    <t>INSTALLATION IMPACT AID</t>
  </si>
  <si>
    <t>EDUCATION FOR HOMELESS CHILDREN &amp; YOUTH</t>
  </si>
  <si>
    <t>OFF-SCHOOL TIME MEALS</t>
  </si>
  <si>
    <t xml:space="preserve">Current </t>
  </si>
  <si>
    <t xml:space="preserve">Revenue </t>
  </si>
  <si>
    <t>Condition</t>
  </si>
  <si>
    <t>Commitments</t>
  </si>
  <si>
    <t>Year-to-Date Commitments: OTPS by Category</t>
  </si>
  <si>
    <t>Committed</t>
  </si>
  <si>
    <t>FMS Budget</t>
  </si>
  <si>
    <t>FOUNDATION AID</t>
  </si>
  <si>
    <t>EDUCATION GRANTS</t>
  </si>
  <si>
    <t>STOP DWI</t>
  </si>
  <si>
    <t>TABLE OF CONTENTS</t>
  </si>
  <si>
    <t>Page</t>
  </si>
  <si>
    <t>CURRENT APPROVED BUDGET</t>
  </si>
  <si>
    <t>REVENUE BUDGET:</t>
  </si>
  <si>
    <t>055</t>
  </si>
  <si>
    <t>General Ed Instruction &amp; School Leadership - PS</t>
  </si>
  <si>
    <t>General Ed Instruction &amp; School Leadership - OTPS</t>
  </si>
  <si>
    <t>Special Ed Instruction &amp; School Leadership - PS</t>
  </si>
  <si>
    <t>Special Ed Instruction &amp; School Leadership - OTPS</t>
  </si>
  <si>
    <t>School Support Organization - PS</t>
  </si>
  <si>
    <t>School Support Organization - OTPS</t>
  </si>
  <si>
    <t>RECONCILIATIONS:</t>
  </si>
  <si>
    <t>Approved Modifications</t>
  </si>
  <si>
    <t>Mod</t>
  </si>
  <si>
    <t>Date</t>
  </si>
  <si>
    <t>Revenue Source</t>
  </si>
  <si>
    <t>Amount</t>
  </si>
  <si>
    <t xml:space="preserve">#  </t>
  </si>
  <si>
    <t xml:space="preserve">Full-Time Actuals </t>
  </si>
  <si>
    <t>Ed</t>
  </si>
  <si>
    <t xml:space="preserve">Per </t>
  </si>
  <si>
    <t>Custod.</t>
  </si>
  <si>
    <t>Total</t>
  </si>
  <si>
    <t>Grand</t>
  </si>
  <si>
    <t>Para</t>
  </si>
  <si>
    <t>Non-</t>
  </si>
  <si>
    <t>Diem</t>
  </si>
  <si>
    <t>Hourly</t>
  </si>
  <si>
    <t>PEDs</t>
  </si>
  <si>
    <t>TOTAL</t>
  </si>
  <si>
    <t>Admin.</t>
  </si>
  <si>
    <t>FT / FTEs</t>
  </si>
  <si>
    <t xml:space="preserve">General Ed Instruction &amp; School Leadership </t>
  </si>
  <si>
    <t xml:space="preserve">  Reimbursable</t>
  </si>
  <si>
    <t xml:space="preserve">Special Ed Instruction &amp; School Leadership </t>
  </si>
  <si>
    <t xml:space="preserve">Citywide Special Ed Instr.  &amp; School Leadership </t>
  </si>
  <si>
    <t xml:space="preserve">Special Ed Instructional Support </t>
  </si>
  <si>
    <t xml:space="preserve">School Facilities </t>
  </si>
  <si>
    <t xml:space="preserve">School Food Services </t>
  </si>
  <si>
    <t xml:space="preserve">Central Administration </t>
  </si>
  <si>
    <t>Tax-Levy Adjustments (see funding of positions note)</t>
  </si>
  <si>
    <t>Subtotal Tax-Levy Positions</t>
  </si>
  <si>
    <t>Subtotal Reimbursable</t>
  </si>
  <si>
    <t>Subtotal</t>
  </si>
  <si>
    <t>Reimbursable</t>
  </si>
  <si>
    <t>Reimbursable Adjustments (see funding of positions note)</t>
  </si>
  <si>
    <t>Sources:</t>
  </si>
  <si>
    <t>Full-time actual distribution by budget code and Financial Management Center are generated by FMS (FG-25 Report).</t>
  </si>
  <si>
    <t>All part-time actuals and custodial headcount are provided by the DOE.</t>
  </si>
  <si>
    <t>Notes:</t>
  </si>
  <si>
    <t>1.</t>
  </si>
  <si>
    <t>Per-diem pedagogues include teachers, social workers, and school secretaries who work no more than 20 hrs a week</t>
  </si>
  <si>
    <t>or 3 out of 5 days a week.</t>
  </si>
  <si>
    <t>2.</t>
  </si>
  <si>
    <t>3.</t>
  </si>
  <si>
    <t>Basis for FTE calculations include:   hourly school aides -- 70 hrs per pay period;  hourly guards -- 80 hrs per pay</t>
  </si>
  <si>
    <t>period;  per-diem peds -- actual hrs per pay period and hourly administration positions -- 70 hrs per pay period.</t>
  </si>
  <si>
    <t>Funding of Positions:</t>
  </si>
  <si>
    <t>the headcount for most of these reimbursable positions appears in U/A 481.  During the year, however, many reimbursable</t>
  </si>
  <si>
    <t>Ed Para</t>
  </si>
  <si>
    <t>U/A</t>
  </si>
  <si>
    <t>FMC</t>
  </si>
  <si>
    <t>Office of the Chancellor</t>
  </si>
  <si>
    <t>Office of English Language Learners</t>
  </si>
  <si>
    <t>Division of Human Resources</t>
  </si>
  <si>
    <t>Division of School Facilities</t>
  </si>
  <si>
    <t>Office of Strategic Partnerships</t>
  </si>
  <si>
    <t>Division of Financial Operations</t>
  </si>
  <si>
    <t>Office of Pupil Transportation</t>
  </si>
  <si>
    <t>Office of the Auditor General</t>
  </si>
  <si>
    <t>Division of Contracts &amp; Purchasing</t>
  </si>
  <si>
    <t>PSAL</t>
  </si>
  <si>
    <t xml:space="preserve">Part-Time Actuals </t>
  </si>
  <si>
    <t>Total Filled</t>
  </si>
  <si>
    <t>Code</t>
  </si>
  <si>
    <t>Categorical Programs</t>
  </si>
  <si>
    <t>Pedagogic</t>
  </si>
  <si>
    <t>Ed.</t>
  </si>
  <si>
    <t>Non-Ped</t>
  </si>
  <si>
    <t>Full-Time</t>
  </si>
  <si>
    <t>Paras</t>
  </si>
  <si>
    <t>Reim. Supp. - Gen. Ed. Inst./Elem./Middle/HS</t>
  </si>
  <si>
    <t>Reim. Supp. - Spec. Ed. Inst./Elem./Middle/HS</t>
  </si>
  <si>
    <t xml:space="preserve">Reimbursable Support - NPS </t>
  </si>
  <si>
    <t>Reim. Support - Central School Supp. Pgms.</t>
  </si>
  <si>
    <t>Positions awaiting fund transfer</t>
  </si>
  <si>
    <t>*</t>
  </si>
  <si>
    <t xml:space="preserve">Each fiscal year between 16 and 20 percent of DOE positions are funded with reimbursable funds.  By the close of a fiscal year, </t>
  </si>
  <si>
    <t>Universal Pre-K (State)</t>
  </si>
  <si>
    <t>Office of Student Enrollment Planning &amp; Operations</t>
  </si>
  <si>
    <t>Division of Instructional &amp; Information Technology</t>
  </si>
  <si>
    <t>Special Education Initiatives</t>
  </si>
  <si>
    <t>Office of School Food and Nutrition Services</t>
  </si>
  <si>
    <t>Family Engagement and Advocacy</t>
  </si>
  <si>
    <r>
      <t>Full-Time Actuals</t>
    </r>
    <r>
      <rPr>
        <b/>
        <i/>
        <sz val="9"/>
        <rFont val="Arial"/>
        <family val="2"/>
      </rPr>
      <t xml:space="preserve"> </t>
    </r>
  </si>
  <si>
    <r>
      <t>Part-Time Actuals</t>
    </r>
    <r>
      <rPr>
        <sz val="9"/>
        <rFont val="Arial"/>
        <family val="2"/>
      </rPr>
      <t xml:space="preserve"> </t>
    </r>
  </si>
  <si>
    <t>CURRENT HEADCOUNT CONDITION:</t>
  </si>
  <si>
    <t>Year-to-Date Commitments</t>
  </si>
  <si>
    <t>Personal Service &amp; Other Than Personal Service by Unit of Appropriation</t>
  </si>
  <si>
    <t>FMS</t>
  </si>
  <si>
    <t xml:space="preserve">Percent </t>
  </si>
  <si>
    <t>Expended</t>
  </si>
  <si>
    <t>School Safety  - OTPS</t>
  </si>
  <si>
    <t>TOTAL Tax-levy Funding PS &amp; OTPS</t>
  </si>
  <si>
    <t>Categorical Programs - PS</t>
  </si>
  <si>
    <t>Subtotal Reimbursable Programs</t>
  </si>
  <si>
    <t>Summary</t>
  </si>
  <si>
    <t>Personal Services</t>
  </si>
  <si>
    <t xml:space="preserve">School Support Organization </t>
  </si>
  <si>
    <t>Intra-City</t>
  </si>
  <si>
    <t>Year-End</t>
  </si>
  <si>
    <r>
      <t xml:space="preserve">► </t>
    </r>
    <r>
      <rPr>
        <sz val="11"/>
        <color indexed="8"/>
        <rFont val="Comic Sans MS"/>
        <family val="4"/>
      </rPr>
      <t>Revenue Modifications</t>
    </r>
  </si>
  <si>
    <r>
      <t xml:space="preserve">► </t>
    </r>
    <r>
      <rPr>
        <sz val="11"/>
        <color indexed="8"/>
        <rFont val="Comic Sans MS"/>
        <family val="4"/>
      </rPr>
      <t>Revenue Budget Update</t>
    </r>
  </si>
  <si>
    <r>
      <t xml:space="preserve">► </t>
    </r>
    <r>
      <rPr>
        <sz val="11"/>
        <color indexed="8"/>
        <rFont val="Comic Sans MS"/>
        <family val="4"/>
      </rPr>
      <t>Summary of Claims</t>
    </r>
  </si>
  <si>
    <t>► Personal Service &amp; Other Than Personal Service by Unit of Appropriation</t>
  </si>
  <si>
    <t>► Personal Service by Category</t>
  </si>
  <si>
    <t>► Other Than Personal Service by Category</t>
  </si>
  <si>
    <t>► Tax-Levy &amp; Reimbursable</t>
  </si>
  <si>
    <t>► Tax-Levy Central Offices</t>
  </si>
  <si>
    <t>► Categorical Programs</t>
  </si>
  <si>
    <t>State</t>
  </si>
  <si>
    <t>Federal</t>
  </si>
  <si>
    <t>Other Categorical</t>
  </si>
  <si>
    <t>May</t>
  </si>
  <si>
    <t>Close</t>
  </si>
  <si>
    <t>► Historical Bar Graphs</t>
  </si>
  <si>
    <t>► Historical Pie Graphs</t>
  </si>
  <si>
    <t>REVENUE TRENDS:</t>
  </si>
  <si>
    <t>Current</t>
  </si>
  <si>
    <t xml:space="preserve">Filled </t>
  </si>
  <si>
    <t>U/A Description</t>
  </si>
  <si>
    <t>Change</t>
  </si>
  <si>
    <t>401</t>
  </si>
  <si>
    <t>General Education Instr. &amp; School Leadership</t>
  </si>
  <si>
    <t xml:space="preserve">   Reimbursable</t>
  </si>
  <si>
    <t>Special Education Instr. &amp; School Leadership</t>
  </si>
  <si>
    <t>School Support Organization</t>
  </si>
  <si>
    <t>Special Educ. Instructional Support</t>
  </si>
  <si>
    <t>School Facilities</t>
  </si>
  <si>
    <t>School Food Services</t>
  </si>
  <si>
    <t>Central Administration</t>
  </si>
  <si>
    <t>Subtotal Reimbursable Positions</t>
  </si>
  <si>
    <t xml:space="preserve">Includes all full-time and part-time positions. </t>
  </si>
  <si>
    <t>Each fiscal year between 16 and 20 percent of DOE positions are funded with reimbursable funds.  By the close of the fiscal year, the headcount for most of these reimbursable</t>
  </si>
  <si>
    <t>positions appears in U/A 481.  During the year, however, many reimbursable positions may be reflected in tax-levy unit of appropriation for a period of time and then transferred.</t>
  </si>
  <si>
    <t>Total Central Administration</t>
  </si>
  <si>
    <t>Regional &amp; Citywide Instr. &amp; Oper. Admin.</t>
  </si>
  <si>
    <t>Reim. Supp.- Gen. Ed. Inst./Elem./Middle/HS</t>
  </si>
  <si>
    <t>Reim. Supp.- Spec. Ed. Instr. /Elem./Middle/HS</t>
  </si>
  <si>
    <t>Reimbursable Support - NPS</t>
  </si>
  <si>
    <t>TOTAL  Categorical Programs</t>
  </si>
  <si>
    <t>NEW YORK CITY DEPARTMENT OF EDUCATION</t>
  </si>
  <si>
    <t>Total Approved Revenue Mods</t>
  </si>
  <si>
    <t>Categorical Programs - OTPS</t>
  </si>
  <si>
    <t>Executive Financial Plan Adjustments:</t>
  </si>
  <si>
    <t>Total Executive Financial Plan Adjustments</t>
  </si>
  <si>
    <t>Adoption Financial Plan Adjustments:</t>
  </si>
  <si>
    <t>Pollution Abatement Costs</t>
  </si>
  <si>
    <t>Total Adoption Financial Plan Adjustments</t>
  </si>
  <si>
    <t>Interest on Deferred Wages/Late Wage Adj.</t>
  </si>
  <si>
    <t>Lump Sum Payment</t>
  </si>
  <si>
    <t>Uniform Allowance</t>
  </si>
  <si>
    <t>739</t>
  </si>
  <si>
    <r>
      <t xml:space="preserve">School Facilities - OTPS </t>
    </r>
    <r>
      <rPr>
        <b/>
        <sz val="11"/>
        <rFont val="Verdana"/>
        <family val="2"/>
      </rPr>
      <t>*</t>
    </r>
  </si>
  <si>
    <r>
      <t xml:space="preserve">Pollution Remediation Cost </t>
    </r>
    <r>
      <rPr>
        <b/>
        <sz val="11"/>
        <rFont val="Verdana"/>
        <family val="2"/>
      </rPr>
      <t>*</t>
    </r>
  </si>
  <si>
    <t>(1)</t>
  </si>
  <si>
    <t>11919</t>
  </si>
  <si>
    <t>MEDICAID - HEALTH &amp; MEDICAL CARE</t>
  </si>
  <si>
    <t>Salary Adjustments Labor Reserve</t>
  </si>
  <si>
    <t xml:space="preserve">Part-time non-peds (o/c 031 &amp; o/c 021 positions) include hourly school aides, guards, food service and administrative </t>
  </si>
  <si>
    <t>employees converted into "Full-Time Equivalents" (FTEs).</t>
  </si>
  <si>
    <r>
      <t xml:space="preserve">  Part-Time Actuals</t>
    </r>
    <r>
      <rPr>
        <b/>
        <sz val="10"/>
        <rFont val="Verdana"/>
        <family val="2"/>
      </rPr>
      <t xml:space="preserve"> ** </t>
    </r>
  </si>
  <si>
    <t>Office of School Health</t>
  </si>
  <si>
    <r>
      <t>Current Headcount Summary: Tax-Levy and Reimbursable</t>
    </r>
    <r>
      <rPr>
        <sz val="18"/>
        <rFont val="Arial"/>
        <family val="2"/>
      </rPr>
      <t xml:space="preserve"> </t>
    </r>
  </si>
  <si>
    <r>
      <t>Current Headcount: Tax-Levy Central Offices</t>
    </r>
    <r>
      <rPr>
        <sz val="18"/>
        <rFont val="Humanst521 BT"/>
        <family val="0"/>
      </rPr>
      <t xml:space="preserve"> </t>
    </r>
  </si>
  <si>
    <t>Office of Capital &amp; Grants Finance</t>
  </si>
  <si>
    <t>56</t>
  </si>
  <si>
    <t>Division of Portfolio Planning</t>
  </si>
  <si>
    <t>Non-Public School Reimbursable Services</t>
  </si>
  <si>
    <t>General Counsel &amp; Legal Services</t>
  </si>
  <si>
    <t>Division of Finance</t>
  </si>
  <si>
    <t>93</t>
  </si>
  <si>
    <t>DSS Central</t>
  </si>
  <si>
    <t>98</t>
  </si>
  <si>
    <t>Division of Financial Systems &amp; Business Operations</t>
  </si>
  <si>
    <t>99</t>
  </si>
  <si>
    <t>8816</t>
  </si>
  <si>
    <t>Regional &amp; CW Instr. &amp; Operational Admin.</t>
  </si>
  <si>
    <t>8817</t>
  </si>
  <si>
    <t>Universal Pre-k (State Funded)</t>
  </si>
  <si>
    <t>8870</t>
  </si>
  <si>
    <t>S058</t>
  </si>
  <si>
    <t xml:space="preserve">Current Headcount: Categorical Programs </t>
  </si>
  <si>
    <t>Citywide Special Educ. Instr. &amp; School Leadership</t>
  </si>
  <si>
    <t>Central Pass-through</t>
  </si>
  <si>
    <t>Division of School Budget Planning &amp; Operations</t>
  </si>
  <si>
    <t>S052</t>
  </si>
  <si>
    <t>ARRA - Title I School Improvement</t>
  </si>
  <si>
    <r>
      <t>Reconciliation:</t>
    </r>
    <r>
      <rPr>
        <sz val="14"/>
        <rFont val="Calibri"/>
        <family val="2"/>
      </rPr>
      <t xml:space="preserve"> </t>
    </r>
    <r>
      <rPr>
        <i/>
        <sz val="13"/>
        <rFont val="Calibri"/>
        <family val="2"/>
      </rPr>
      <t>Increased Expense Budget due to Revenue Modifications</t>
    </r>
  </si>
  <si>
    <t>POLLUTION REMEDIATION COST</t>
  </si>
  <si>
    <t>ARRA: EVERYDAY ARTS FOR SPECIAL EDUCATION</t>
  </si>
  <si>
    <t xml:space="preserve">  - Miscellaneous Fees &amp; Grants - included in City Tax-Levy Funding</t>
  </si>
  <si>
    <t xml:space="preserve">  - State Building Aid - not included in operating budget</t>
  </si>
  <si>
    <t xml:space="preserve">  - CD Violation Removal</t>
  </si>
  <si>
    <t>ARRA: RACE TO THE TOP</t>
  </si>
  <si>
    <t>FTE</t>
  </si>
  <si>
    <t>BLIND AND DEAF STUDENTS</t>
  </si>
  <si>
    <t>TITLE IIB - COMPETITIVE</t>
  </si>
  <si>
    <t>TITLE I - COMPETITIVE</t>
  </si>
  <si>
    <t>OTHER SERVICES/FEES (DYCD - Beacon Program)</t>
  </si>
  <si>
    <t>OTHER SERVICES/FEES (DOHMH - Mobile Response Team)</t>
  </si>
  <si>
    <t>OTHER SERVICES/FEES (DOHMH - School Health)</t>
  </si>
  <si>
    <t>OTHER SERVICES/FEES (DOHMH - Physical Fitness)</t>
  </si>
  <si>
    <t>Division of Academics, Performance, and Support</t>
  </si>
  <si>
    <t>Division of Information &amp; Instructional Technology</t>
  </si>
  <si>
    <t>Reim. Supp. Central School Support Pgm.</t>
  </si>
  <si>
    <t>S065</t>
  </si>
  <si>
    <t>ARRA: Race to the Top</t>
  </si>
  <si>
    <t>Oct. - Dec.</t>
  </si>
  <si>
    <t>Dec. - Feb.</t>
  </si>
  <si>
    <t>Oct.- June</t>
  </si>
  <si>
    <t>ARRA - Race to the Top</t>
  </si>
  <si>
    <t>Payroll Refunds</t>
  </si>
  <si>
    <t>TEACHER CENTERS / MENTOR TEACHER</t>
  </si>
  <si>
    <t>TITLE lll-LEP &amp; IMMIGRATION STUDENTS</t>
  </si>
  <si>
    <t>03304</t>
  </si>
  <si>
    <t>FEMA: BUILDINGS AND EQUIPMENT</t>
  </si>
  <si>
    <t>OTHER SERVICES/FEES (DOHMH - Obesity Programs)</t>
  </si>
  <si>
    <t>OTHER SERVICES/FEES (DOITT - Digital Media Capacity Building)</t>
  </si>
  <si>
    <t>SCA CONSTRUCTION</t>
  </si>
  <si>
    <t>Charter Schools - OTPS</t>
  </si>
  <si>
    <t>Contract &amp; Foster Care Payments - OTPS</t>
  </si>
  <si>
    <t>YEAR-TO-DATE COMMITMENTS:</t>
  </si>
  <si>
    <t>OTHER SERVICES/FEES (DOHMH - Medical Supplies)</t>
  </si>
  <si>
    <t>NYS-STVP MICROSOFT SETTLEMENT</t>
  </si>
  <si>
    <t>INNOVATION ECOSYSTEM: EDUCATION</t>
  </si>
  <si>
    <t>DRUG FREE SCHOOL PROGRAM</t>
  </si>
  <si>
    <t xml:space="preserve">POLLUTION REMEDIATION </t>
  </si>
  <si>
    <t>UNIVERSAL SERVICE FUNDS</t>
  </si>
  <si>
    <t>UNIVERSAL PRE-KINDERGARTEN EXPANSION &amp; COMPETITIVE GRANT</t>
  </si>
  <si>
    <t>WELFARE EDUCATION</t>
  </si>
  <si>
    <t>TEACHER INCENTIVE</t>
  </si>
  <si>
    <t xml:space="preserve">            which is associated with GASB 49. Totals may not add up due to rounding.</t>
  </si>
  <si>
    <r>
      <rPr>
        <b/>
        <i/>
        <sz val="11"/>
        <rFont val="Calibri"/>
        <family val="2"/>
      </rPr>
      <t>Note: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The above amounts include pension, debt service and collective bargaining. This chart excludes </t>
    </r>
  </si>
  <si>
    <r>
      <rPr>
        <b/>
        <i/>
        <sz val="11"/>
        <rFont val="Calibri"/>
        <family val="2"/>
      </rPr>
      <t>Note:</t>
    </r>
    <r>
      <rPr>
        <sz val="11"/>
        <rFont val="Calibri"/>
        <family val="2"/>
      </rPr>
      <t xml:space="preserve"> The above amounts include pension, debt service and collective bargaining.  This chart excludes other</t>
    </r>
  </si>
  <si>
    <t>38</t>
  </si>
  <si>
    <t xml:space="preserve">Office of Strategic Initiatives </t>
  </si>
  <si>
    <t>45</t>
  </si>
  <si>
    <t>Division of Early Childhood Education</t>
  </si>
  <si>
    <t>48</t>
  </si>
  <si>
    <t>59</t>
  </si>
  <si>
    <t>Office of Strategic Coordination and Planning</t>
  </si>
  <si>
    <t>Deputy Chancellor for Teaching &amp; Learning</t>
  </si>
  <si>
    <t>positions may be reflected in tax-levy units of appropriation for a period of time and then transferred.  The current</t>
  </si>
  <si>
    <t>Office of Safety and Youth Development</t>
  </si>
  <si>
    <t>Division of Budget Operations &amp; Review</t>
  </si>
  <si>
    <t xml:space="preserve">Division of Finance </t>
  </si>
  <si>
    <t>YEAR-END COMMITMENTS BY ORGANIZATIONAL GROUPING:</t>
  </si>
  <si>
    <t>Office of the Deputy Chancellor for Operations</t>
  </si>
  <si>
    <t>Office of Communications and Public Affairs</t>
  </si>
  <si>
    <t>Office of Human Capital and Innovation</t>
  </si>
  <si>
    <t>Office ot the Deputy Chancellor for Operations</t>
  </si>
  <si>
    <t>FY2015 YEAR-END CLOSE</t>
  </si>
  <si>
    <t>OCTOBER 2015</t>
  </si>
  <si>
    <t>FY2016 YEAR-TO-DATE COMMITMENTS:</t>
  </si>
  <si>
    <t>SUMMARY Of HEADCOUNT ACTUALS - FY2015:</t>
  </si>
  <si>
    <t>as of 10/5/15</t>
  </si>
  <si>
    <t>5/21/15 - 10/5/15</t>
  </si>
  <si>
    <t>UA 436 includes an adjustment of $130 million associated with Pollution Remediation Obligations (GASB 49). See cover memo for link to details.</t>
  </si>
  <si>
    <t>FY2015 Closing Adjustments:</t>
  </si>
  <si>
    <t>FY15: Close, Revenue &amp; UA Adjustments</t>
  </si>
  <si>
    <t>Total FY2015 Closing Adjustments</t>
  </si>
  <si>
    <t>Intra-City: DOHMH, DCAS, DOITT, HRA, etc.</t>
  </si>
  <si>
    <t>7/1/15 - 9/25/15</t>
  </si>
  <si>
    <t>MN-7</t>
  </si>
  <si>
    <t>FY 2015</t>
  </si>
  <si>
    <t>FY 2015 Year-End Close</t>
  </si>
  <si>
    <t>CHARTER SCHOOLS</t>
  </si>
  <si>
    <t xml:space="preserve">UNIVERSAL PRE-KINDERGARTEN </t>
  </si>
  <si>
    <t>ARRA: ARTS ACHIEVE</t>
  </si>
  <si>
    <t>OTHER SERVICES/FEES (ACS - Fingerprinting)</t>
  </si>
  <si>
    <t>OTHER SERVICES/FEES (Board of Elections - Poll Site Improvements)</t>
  </si>
  <si>
    <t>OTHER SERVICES/FEES (DCAS - PlaNYC Energy and Outreach)</t>
  </si>
  <si>
    <t>OTHER SERVICES/FEES (DCAS - Mechanist Practical Exam)</t>
  </si>
  <si>
    <t>OTHER SERVICES/FEES (DEP - Water Conservation)</t>
  </si>
  <si>
    <t>OTHER SERVICES/FEES (DFTA - GoPass Fingerprinting)</t>
  </si>
  <si>
    <t>OTHER SERVICES/FEES (DOHMH - Agency Nurse Tracking System)</t>
  </si>
  <si>
    <t>OTHER SERVICES/FEES (DOITT - Warehouse Space Renovation)</t>
  </si>
  <si>
    <t>OTHER SERVICES/FEES (DOT - GoPass Fingerprinting)</t>
  </si>
  <si>
    <t>OTHER SERVICES/FEES (Parks - GoPass Fingerprinting)</t>
  </si>
  <si>
    <t>OTHER SERVICES/FEES (Sanitation - Golden Apple Awards)</t>
  </si>
  <si>
    <t>OTHER SERVICES/FEES (Sanitation - Recycling Champions)</t>
  </si>
  <si>
    <t>INTRA - CITY RENTALS (TLC - Rental)</t>
  </si>
  <si>
    <r>
      <t xml:space="preserve">SCA </t>
    </r>
    <r>
      <rPr>
        <sz val="8"/>
        <color indexed="8"/>
        <rFont val="Humanst521 BT"/>
        <family val="0"/>
      </rPr>
      <t>CONSTRUCTION</t>
    </r>
  </si>
  <si>
    <t>PATHWAYS IN TECHNOLOGY</t>
  </si>
  <si>
    <t>03300</t>
  </si>
  <si>
    <t>ARRA: SCHOOL OF ONE GRANT</t>
  </si>
  <si>
    <t>ARRA: TITLE I SCHOOL IMPROVEMENT</t>
  </si>
  <si>
    <t>INTRA - CITY RENTALS (NYPD - Rental)</t>
  </si>
  <si>
    <t>OTHER SERVICES/FEES (DOC - Technology Center Training Program)</t>
  </si>
  <si>
    <t>OTHER SERVICES/FEES (CUNY - Teacher Certificate)</t>
  </si>
  <si>
    <t>OTHER SERVICES/FEES (HRA - WEP Program)</t>
  </si>
  <si>
    <t>OTHER SERVICES/FEES (DOHMH - Vaccines)</t>
  </si>
  <si>
    <t>OTHER SERVICES/FEES (DOHMH - Bronx Teen Connection)</t>
  </si>
  <si>
    <t>OTHER SERVICES/FEES (Board of Elections - Extended Use Permits)</t>
  </si>
  <si>
    <t>OTHER SERVICES/FEES (SBS - Scholars at Work)</t>
  </si>
  <si>
    <t>INTRA - CITY RENTALS (DOT - School Rental)</t>
  </si>
  <si>
    <t>YTD - 10/14/15</t>
  </si>
  <si>
    <t>Debt Service (as per the Adopted Financial Plan)</t>
  </si>
  <si>
    <t>REVENUE TREND AS OF CLOSE:  FY2013 - FY2015</t>
  </si>
  <si>
    <t xml:space="preserve">            categorical revenue of $130 million for FY2015, $145.5 million for FY2014 and $101.9 million for FY2013 </t>
  </si>
  <si>
    <t xml:space="preserve">            FY2013 which is associated with GASB 49. Totals may not add up due to rounding.</t>
  </si>
  <si>
    <t>FY2015 Year-End Close</t>
  </si>
  <si>
    <t>FY2015</t>
  </si>
  <si>
    <t>The budget &amp; commitments in UA 436 include $130 million of funds associated with GASB 49.</t>
  </si>
  <si>
    <t>052</t>
  </si>
  <si>
    <t>Severence Payment</t>
  </si>
  <si>
    <t>Pension (Final)</t>
  </si>
  <si>
    <t>417</t>
  </si>
  <si>
    <t>Advertising</t>
  </si>
  <si>
    <t>JUNE 2015 HEADCOUNT - FY2015</t>
  </si>
  <si>
    <r>
      <rPr>
        <b/>
        <sz val="10"/>
        <rFont val="Verdana"/>
        <family val="2"/>
      </rPr>
      <t>**</t>
    </r>
    <r>
      <rPr>
        <b/>
        <sz val="9"/>
        <rFont val="Arial"/>
        <family val="2"/>
      </rPr>
      <t xml:space="preserve">  includes 32 FTE positions in o/c 021.</t>
    </r>
  </si>
  <si>
    <t>Full-time actuals, with the exception of custodians, are generated from FMS as of 7/17/2015.</t>
  </si>
  <si>
    <t xml:space="preserve">estimate of retirements and positions awaiting fund transfer to u/a 481 include 4,082 peds and 1,053 non-peds. </t>
  </si>
  <si>
    <t>SFSF School-of-One i3</t>
  </si>
  <si>
    <t>FY 2015 Changes in Headcount Condition: Categorical Programs</t>
  </si>
  <si>
    <t>FY 2015 Changes in Headcount Condition: Tax-Levy &amp; Reimbursable</t>
  </si>
  <si>
    <t>March - June</t>
  </si>
  <si>
    <t>Oct. 2014</t>
  </si>
  <si>
    <t>Dec. 2014</t>
  </si>
  <si>
    <t>Feb. 2015</t>
  </si>
  <si>
    <t>March 2015</t>
  </si>
  <si>
    <t>June 2015</t>
  </si>
  <si>
    <t>Feb. - Mar.</t>
  </si>
  <si>
    <t>FY 2015 Changes in Headcount Condition: Tax-Levy Central Offices</t>
  </si>
  <si>
    <t>Feb. -  Mar.</t>
  </si>
  <si>
    <t>Dec.  2014</t>
  </si>
  <si>
    <t>March  2015</t>
  </si>
  <si>
    <t>S055</t>
  </si>
  <si>
    <t>ARRA - i3- Everyday Arts for Special Education</t>
  </si>
  <si>
    <t>Feb. -  March</t>
  </si>
  <si>
    <t xml:space="preserve">FY 2015 </t>
  </si>
  <si>
    <t>Adopted Budget</t>
  </si>
  <si>
    <t>FY2016 Year-to-Date Commitments</t>
  </si>
  <si>
    <t>as of 10/22/15</t>
  </si>
  <si>
    <t xml:space="preserve"> 10/22/15</t>
  </si>
  <si>
    <t>FY2016</t>
  </si>
  <si>
    <t>Universal Pre-K - PS</t>
  </si>
  <si>
    <t>Universal Pre-K - OTPS</t>
  </si>
  <si>
    <t>FEMA: SANDY DEBRIS REMOVAL</t>
  </si>
  <si>
    <t>ENERGY DEMAND RESPONSE PROGRAM</t>
  </si>
  <si>
    <t xml:space="preserve">            other categorical revenue of $130 million for FY2015, $145.5 million for FY2014 and $101.9 million for </t>
  </si>
  <si>
    <t>Total Tax-levy Funding PS &amp; OTPS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</si>
</sst>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/d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0.0%"/>
    <numFmt numFmtId="170" formatCode="_(* #,##0.0_);_(* \(#,##0.0\);_(* &quot;-&quot;?_);_(@_)"/>
    <numFmt numFmtId="171" formatCode="_(&quot;$&quot;* #,##0.0_);_(&quot;$&quot;* \(#,##0.0\);_(&quot;$&quot;* &quot;-&quot;??_);_(@_)"/>
    <numFmt numFmtId="172" formatCode="&quot;$&quot;#,##0.0_);\(&quot;$&quot;#,##0.0\)"/>
    <numFmt numFmtId="173" formatCode="&quot;$&quot;#,##0.0"/>
    <numFmt numFmtId="174" formatCode="_(* #,##0_);_(* \(#,##0\);_(* &quot;-&quot;?_);_(@_)"/>
    <numFmt numFmtId="175" formatCode="m/d/yy;@"/>
    <numFmt numFmtId="176" formatCode="_(* #,##0.0_);_(* \(#,##0.0\);_(* &quot;-&quot;_);_(@_)"/>
    <numFmt numFmtId="177" formatCode="mmm\.\ yy"/>
    <numFmt numFmtId="178" formatCode="[$-409]mmmm\-yy;@"/>
    <numFmt numFmtId="179" formatCode="_(&quot;$&quot;* #,##0.0_);_(&quot;$&quot;* \(#,##0.0\);_(&quot;$&quot;* &quot;-&quot;?_);_(@_)"/>
    <numFmt numFmtId="180" formatCode="\$#,##0_);\(\$#,##0\)"/>
    <numFmt numFmtId="181" formatCode="#,##0.000_);\(#,##0.000\)"/>
    <numFmt numFmtId="182" formatCode="[$-409]dddd\,\ mmmm\ dd\,\ yyyy"/>
    <numFmt numFmtId="183" formatCode="0.0"/>
  </numFmts>
  <fonts count="164">
    <font>
      <sz val="10"/>
      <name val="Arial"/>
      <family val="0"/>
    </font>
    <font>
      <sz val="12"/>
      <color indexed="8"/>
      <name val="Cambria"/>
      <family val="2"/>
    </font>
    <font>
      <sz val="10"/>
      <name val="Optane"/>
      <family val="0"/>
    </font>
    <font>
      <b/>
      <sz val="16"/>
      <name val="Humanst521 BT"/>
      <family val="2"/>
    </font>
    <font>
      <sz val="15"/>
      <name val="Humanst521 BT"/>
      <family val="2"/>
    </font>
    <font>
      <sz val="14"/>
      <name val="Humanst521 BT"/>
      <family val="2"/>
    </font>
    <font>
      <sz val="12"/>
      <name val="Humanst521 BT"/>
      <family val="2"/>
    </font>
    <font>
      <sz val="9"/>
      <name val="Humanst521 BT"/>
      <family val="2"/>
    </font>
    <font>
      <sz val="11"/>
      <name val="Humanst521 BT"/>
      <family val="2"/>
    </font>
    <font>
      <sz val="10"/>
      <name val="Humanst521 BT"/>
      <family val="2"/>
    </font>
    <font>
      <b/>
      <sz val="9"/>
      <name val="Humanst521 BT"/>
      <family val="2"/>
    </font>
    <font>
      <sz val="8"/>
      <name val="Humanst521 BT"/>
      <family val="2"/>
    </font>
    <font>
      <sz val="10.5"/>
      <name val="Humanst521 BT"/>
      <family val="2"/>
    </font>
    <font>
      <sz val="10"/>
      <name val="Courier"/>
      <family val="3"/>
    </font>
    <font>
      <sz val="7"/>
      <name val="Humanst521 BT"/>
      <family val="2"/>
    </font>
    <font>
      <i/>
      <sz val="8"/>
      <name val="Humanst521 BT"/>
      <family val="2"/>
    </font>
    <font>
      <b/>
      <sz val="14"/>
      <name val="Humanst521 BT"/>
      <family val="0"/>
    </font>
    <font>
      <i/>
      <sz val="9"/>
      <name val="Humanst521 BT"/>
      <family val="0"/>
    </font>
    <font>
      <sz val="9"/>
      <name val="Humanst521 Lt BT"/>
      <family val="0"/>
    </font>
    <font>
      <sz val="9"/>
      <name val="Optane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Humanst521 BT"/>
      <family val="0"/>
    </font>
    <font>
      <b/>
      <sz val="8"/>
      <name val="Humanst521 BT"/>
      <family val="0"/>
    </font>
    <font>
      <sz val="8"/>
      <name val="Humanst521 Lt BT"/>
      <family val="1"/>
    </font>
    <font>
      <sz val="9"/>
      <color indexed="8"/>
      <name val="Humanst521 BT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u val="single"/>
      <sz val="14"/>
      <name val="Comic Sans MS"/>
      <family val="4"/>
    </font>
    <font>
      <b/>
      <sz val="11"/>
      <name val="Comic Sans MS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9"/>
      <name val="Arial"/>
      <family val="2"/>
    </font>
    <font>
      <b/>
      <sz val="9"/>
      <color indexed="60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b/>
      <sz val="20"/>
      <name val="Humanst521 BT"/>
      <family val="2"/>
    </font>
    <font>
      <sz val="16"/>
      <name val="Humanst521 BT"/>
      <family val="0"/>
    </font>
    <font>
      <sz val="18"/>
      <name val="Humanst521 BT"/>
      <family val="0"/>
    </font>
    <font>
      <sz val="9"/>
      <color indexed="10"/>
      <name val="Arial"/>
      <family val="2"/>
    </font>
    <font>
      <sz val="9"/>
      <color indexed="9"/>
      <name val="Humanst521 BT"/>
      <family val="2"/>
    </font>
    <font>
      <sz val="9.5"/>
      <name val="Humanst521 BT"/>
      <family val="2"/>
    </font>
    <font>
      <sz val="9.5"/>
      <color indexed="10"/>
      <name val="Arial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Humanst521 BT"/>
      <family val="0"/>
    </font>
    <font>
      <b/>
      <i/>
      <sz val="10"/>
      <name val="Humanst521 BT"/>
      <family val="0"/>
    </font>
    <font>
      <b/>
      <sz val="14"/>
      <name val="Tahoma"/>
      <family val="2"/>
    </font>
    <font>
      <sz val="15"/>
      <name val="Arial"/>
      <family val="2"/>
    </font>
    <font>
      <sz val="10"/>
      <name val="Humanst521 Lt BT"/>
      <family val="1"/>
    </font>
    <font>
      <sz val="14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9"/>
      <name val="Humanst521 Lt BT"/>
      <family val="0"/>
    </font>
    <font>
      <b/>
      <sz val="8"/>
      <color indexed="9"/>
      <name val="Arial"/>
      <family val="2"/>
    </font>
    <font>
      <b/>
      <sz val="10"/>
      <name val="Humanst521 Lt BT"/>
      <family val="1"/>
    </font>
    <font>
      <b/>
      <sz val="14"/>
      <color indexed="60"/>
      <name val="Comic Sans MS"/>
      <family val="4"/>
    </font>
    <font>
      <b/>
      <sz val="9"/>
      <name val="Tahoma"/>
      <family val="2"/>
    </font>
    <font>
      <b/>
      <u val="single"/>
      <sz val="20"/>
      <name val="Tahoma"/>
      <family val="2"/>
    </font>
    <font>
      <b/>
      <u val="single"/>
      <sz val="14"/>
      <name val="Tahoma"/>
      <family val="2"/>
    </font>
    <font>
      <b/>
      <sz val="14"/>
      <name val="Geneva"/>
      <family val="0"/>
    </font>
    <font>
      <sz val="10"/>
      <name val="Garamond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9"/>
      <name val="Humanst521 Lt BT"/>
      <family val="0"/>
    </font>
    <font>
      <b/>
      <i/>
      <sz val="10"/>
      <name val="Arial"/>
      <family val="2"/>
    </font>
    <font>
      <sz val="14"/>
      <name val="Calibri"/>
      <family val="2"/>
    </font>
    <font>
      <i/>
      <sz val="13"/>
      <name val="Calibri"/>
      <family val="2"/>
    </font>
    <font>
      <sz val="8"/>
      <color indexed="8"/>
      <name val="Humanst521 BT"/>
      <family val="0"/>
    </font>
    <font>
      <b/>
      <sz val="18"/>
      <name val="Arial"/>
      <family val="2"/>
    </font>
    <font>
      <b/>
      <sz val="16"/>
      <name val="Arial"/>
      <family val="2"/>
    </font>
    <font>
      <sz val="11"/>
      <name val="Tahoma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u val="single"/>
      <sz val="10"/>
      <name val="Humanst521 BT"/>
      <family val="2"/>
    </font>
    <font>
      <b/>
      <u val="single"/>
      <sz val="11"/>
      <name val="Comic Sans MS"/>
      <family val="4"/>
    </font>
    <font>
      <sz val="2.7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b/>
      <sz val="11.8"/>
      <color indexed="8"/>
      <name val="Tahoma"/>
      <family val="0"/>
    </font>
    <font>
      <sz val="22.5"/>
      <color indexed="8"/>
      <name val="Arial"/>
      <family val="0"/>
    </font>
    <font>
      <b/>
      <sz val="8.75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Tahoma"/>
      <family val="0"/>
    </font>
    <font>
      <sz val="8.75"/>
      <color indexed="8"/>
      <name val="Tahoma"/>
      <family val="0"/>
    </font>
    <font>
      <sz val="9.25"/>
      <color indexed="8"/>
      <name val="Garamond"/>
      <family val="0"/>
    </font>
    <font>
      <b/>
      <sz val="11"/>
      <color indexed="8"/>
      <name val="Century Gothic"/>
      <family val="0"/>
    </font>
    <font>
      <b/>
      <sz val="10"/>
      <color indexed="8"/>
      <name val="Century Gothic"/>
      <family val="0"/>
    </font>
    <font>
      <sz val="11.5"/>
      <color indexed="8"/>
      <name val="Tahoma"/>
      <family val="0"/>
    </font>
    <font>
      <b/>
      <u val="single"/>
      <sz val="11.75"/>
      <color indexed="8"/>
      <name val="Tahoma"/>
      <family val="0"/>
    </font>
    <font>
      <sz val="11"/>
      <color indexed="8"/>
      <name val="Tahoma"/>
      <family val="0"/>
    </font>
    <font>
      <sz val="12"/>
      <color indexed="9"/>
      <name val="Cambria"/>
      <family val="2"/>
    </font>
    <font>
      <sz val="12"/>
      <color indexed="20"/>
      <name val="Cambria"/>
      <family val="2"/>
    </font>
    <font>
      <b/>
      <sz val="12"/>
      <color indexed="52"/>
      <name val="Cambria"/>
      <family val="2"/>
    </font>
    <font>
      <b/>
      <sz val="12"/>
      <color indexed="9"/>
      <name val="Cambria"/>
      <family val="2"/>
    </font>
    <font>
      <i/>
      <sz val="12"/>
      <color indexed="23"/>
      <name val="Cambria"/>
      <family val="2"/>
    </font>
    <font>
      <sz val="12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2"/>
      <color indexed="62"/>
      <name val="Cambria"/>
      <family val="2"/>
    </font>
    <font>
      <sz val="12"/>
      <color indexed="52"/>
      <name val="Cambria"/>
      <family val="2"/>
    </font>
    <font>
      <sz val="12"/>
      <color indexed="60"/>
      <name val="Cambria"/>
      <family val="2"/>
    </font>
    <font>
      <b/>
      <sz val="12"/>
      <color indexed="63"/>
      <name val="Cambria"/>
      <family val="2"/>
    </font>
    <font>
      <b/>
      <sz val="18"/>
      <color indexed="56"/>
      <name val="Cambria"/>
      <family val="2"/>
    </font>
    <font>
      <b/>
      <sz val="12"/>
      <color indexed="8"/>
      <name val="Cambria"/>
      <family val="2"/>
    </font>
    <font>
      <sz val="12"/>
      <color indexed="10"/>
      <name val="Cambria"/>
      <family val="2"/>
    </font>
    <font>
      <b/>
      <sz val="16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9"/>
      <color indexed="60"/>
      <name val="Humanst521 BT"/>
      <family val="2"/>
    </font>
    <font>
      <b/>
      <sz val="8"/>
      <color indexed="60"/>
      <name val="Humanst521 BT"/>
      <family val="2"/>
    </font>
    <font>
      <sz val="8"/>
      <name val="Calibri"/>
      <family val="2"/>
    </font>
    <font>
      <b/>
      <sz val="20"/>
      <name val="Calibri"/>
      <family val="2"/>
    </font>
    <font>
      <sz val="15"/>
      <name val="Calibri"/>
      <family val="2"/>
    </font>
    <font>
      <b/>
      <u val="single"/>
      <sz val="1.5"/>
      <color indexed="8"/>
      <name val="Arial"/>
      <family val="0"/>
    </font>
    <font>
      <b/>
      <u val="single"/>
      <sz val="1.25"/>
      <color indexed="8"/>
      <name val="Arial"/>
      <family val="0"/>
    </font>
    <font>
      <b/>
      <i/>
      <u val="single"/>
      <sz val="1"/>
      <color indexed="8"/>
      <name val="Arial"/>
      <family val="0"/>
    </font>
    <font>
      <b/>
      <u val="single"/>
      <sz val="13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i/>
      <u val="single"/>
      <sz val="8"/>
      <color indexed="8"/>
      <name val="Arial"/>
      <family val="0"/>
    </font>
    <font>
      <b/>
      <u val="single"/>
      <sz val="12"/>
      <color indexed="8"/>
      <name val="Tahoma"/>
      <family val="0"/>
    </font>
    <font>
      <b/>
      <i/>
      <u val="single"/>
      <sz val="8"/>
      <color indexed="8"/>
      <name val="Tahoma"/>
      <family val="0"/>
    </font>
    <font>
      <sz val="8"/>
      <color indexed="8"/>
      <name val="Tahoma"/>
      <family val="0"/>
    </font>
    <font>
      <b/>
      <u val="single"/>
      <sz val="14"/>
      <color indexed="8"/>
      <name val="Tahoma"/>
      <family val="0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9C0006"/>
      <name val="Cambria"/>
      <family val="2"/>
    </font>
    <font>
      <b/>
      <sz val="12"/>
      <color rgb="FFFA7D00"/>
      <name val="Cambria"/>
      <family val="2"/>
    </font>
    <font>
      <b/>
      <sz val="12"/>
      <color theme="0"/>
      <name val="Cambria"/>
      <family val="2"/>
    </font>
    <font>
      <i/>
      <sz val="12"/>
      <color rgb="FF7F7F7F"/>
      <name val="Cambria"/>
      <family val="2"/>
    </font>
    <font>
      <sz val="12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2"/>
      <color rgb="FF3F3F76"/>
      <name val="Cambria"/>
      <family val="2"/>
    </font>
    <font>
      <sz val="12"/>
      <color rgb="FFFA7D00"/>
      <name val="Cambria"/>
      <family val="2"/>
    </font>
    <font>
      <sz val="12"/>
      <color rgb="FF9C6500"/>
      <name val="Cambria"/>
      <family val="2"/>
    </font>
    <font>
      <b/>
      <sz val="12"/>
      <color rgb="FF3F3F3F"/>
      <name val="Cambria"/>
      <family val="2"/>
    </font>
    <font>
      <b/>
      <sz val="18"/>
      <color theme="3"/>
      <name val="Cambria"/>
      <family val="2"/>
    </font>
    <font>
      <b/>
      <sz val="12"/>
      <color theme="1"/>
      <name val="Cambria"/>
      <family val="2"/>
    </font>
    <font>
      <sz val="12"/>
      <color rgb="FFFF0000"/>
      <name val="Cambria"/>
      <family val="2"/>
    </font>
    <font>
      <b/>
      <sz val="9"/>
      <color rgb="FFC00000"/>
      <name val="Humanst521 BT"/>
      <family val="2"/>
    </font>
    <font>
      <b/>
      <sz val="8"/>
      <color rgb="FFC00000"/>
      <name val="Humanst521 BT"/>
      <family val="2"/>
    </font>
    <font>
      <sz val="8"/>
      <color theme="1"/>
      <name val="Humanst521 BT"/>
      <family val="0"/>
    </font>
    <font>
      <sz val="9"/>
      <color theme="1"/>
      <name val="Humanst521 B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double"/>
      <bottom style="double"/>
    </border>
    <border>
      <left/>
      <right/>
      <top style="thin">
        <color indexed="8"/>
      </top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>
        <color indexed="55"/>
      </bottom>
    </border>
    <border>
      <left/>
      <right style="double"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double"/>
      <right/>
      <top style="thin">
        <color indexed="55"/>
      </top>
      <bottom style="thin">
        <color indexed="55"/>
      </bottom>
    </border>
    <border>
      <left/>
      <right style="double"/>
      <top style="thin">
        <color indexed="55"/>
      </top>
      <bottom style="thin">
        <color indexed="55"/>
      </bottom>
    </border>
    <border>
      <left style="double"/>
      <right/>
      <top style="thin">
        <color indexed="55"/>
      </top>
      <bottom style="double"/>
    </border>
    <border>
      <left/>
      <right/>
      <top style="thin">
        <color indexed="55"/>
      </top>
      <bottom style="double"/>
    </border>
    <border>
      <left/>
      <right style="double"/>
      <top style="thin">
        <color indexed="55"/>
      </top>
      <bottom style="double"/>
    </border>
    <border>
      <left/>
      <right/>
      <top/>
      <bottom style="thin">
        <color indexed="55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/>
    </border>
    <border>
      <left style="thin"/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thin"/>
      <top/>
      <bottom style="medium">
        <color indexed="23"/>
      </bottom>
    </border>
    <border>
      <left style="thin"/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thin"/>
      <top/>
      <bottom style="medium">
        <color indexed="55"/>
      </bottom>
    </border>
    <border>
      <left/>
      <right style="thin"/>
      <top style="medium">
        <color indexed="55"/>
      </top>
      <bottom/>
    </border>
    <border>
      <left/>
      <right style="thin"/>
      <top style="medium">
        <color indexed="23"/>
      </top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double"/>
    </border>
    <border>
      <left/>
      <right/>
      <top style="dashed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>
        <color indexed="55"/>
      </top>
      <bottom/>
    </border>
    <border>
      <left style="double"/>
      <right/>
      <top style="thin">
        <color indexed="55"/>
      </top>
      <bottom/>
    </border>
    <border>
      <left/>
      <right style="double"/>
      <top style="thin">
        <color indexed="55"/>
      </top>
      <bottom/>
    </border>
    <border>
      <left style="thin"/>
      <right style="thin"/>
      <top/>
      <bottom/>
    </border>
    <border>
      <left/>
      <right/>
      <top style="medium">
        <color indexed="2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>
        <color indexed="55"/>
      </top>
      <bottom/>
    </border>
    <border>
      <left style="hair">
        <color indexed="8"/>
      </left>
      <right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0" fontId="144" fillId="20" borderId="0" applyNumberFormat="0" applyBorder="0" applyAlignment="0" applyProtection="0"/>
    <xf numFmtId="0" fontId="144" fillId="21" borderId="0" applyNumberFormat="0" applyBorder="0" applyAlignment="0" applyProtection="0"/>
    <xf numFmtId="0" fontId="144" fillId="22" borderId="0" applyNumberFormat="0" applyBorder="0" applyAlignment="0" applyProtection="0"/>
    <xf numFmtId="0" fontId="144" fillId="23" borderId="0" applyNumberFormat="0" applyBorder="0" applyAlignment="0" applyProtection="0"/>
    <xf numFmtId="0" fontId="144" fillId="24" borderId="0" applyNumberFormat="0" applyBorder="0" applyAlignment="0" applyProtection="0"/>
    <xf numFmtId="0" fontId="144" fillId="25" borderId="0" applyNumberFormat="0" applyBorder="0" applyAlignment="0" applyProtection="0"/>
    <xf numFmtId="0" fontId="145" fillId="26" borderId="0" applyNumberFormat="0" applyBorder="0" applyAlignment="0" applyProtection="0"/>
    <xf numFmtId="0" fontId="146" fillId="27" borderId="1" applyNumberFormat="0" applyAlignment="0" applyProtection="0"/>
    <xf numFmtId="0" fontId="1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29" borderId="0" applyNumberFormat="0" applyBorder="0" applyAlignment="0" applyProtection="0"/>
    <xf numFmtId="0" fontId="150" fillId="0" borderId="3" applyNumberFormat="0" applyFill="0" applyAlignment="0" applyProtection="0"/>
    <xf numFmtId="0" fontId="151" fillId="0" borderId="4" applyNumberFormat="0" applyFill="0" applyAlignment="0" applyProtection="0"/>
    <xf numFmtId="0" fontId="152" fillId="0" borderId="5" applyNumberFormat="0" applyFill="0" applyAlignment="0" applyProtection="0"/>
    <xf numFmtId="0" fontId="152" fillId="0" borderId="0" applyNumberFormat="0" applyFill="0" applyBorder="0" applyAlignment="0" applyProtection="0"/>
    <xf numFmtId="0" fontId="153" fillId="30" borderId="1" applyNumberFormat="0" applyAlignment="0" applyProtection="0"/>
    <xf numFmtId="0" fontId="154" fillId="0" borderId="6" applyNumberFormat="0" applyFill="0" applyAlignment="0" applyProtection="0"/>
    <xf numFmtId="0" fontId="155" fillId="31" borderId="0" applyNumberFormat="0" applyBorder="0" applyAlignment="0" applyProtection="0"/>
    <xf numFmtId="37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6" fillId="27" borderId="8" applyNumberFormat="0" applyAlignment="0" applyProtection="0"/>
    <xf numFmtId="9" fontId="0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9" applyNumberFormat="0" applyFill="0" applyAlignment="0" applyProtection="0"/>
    <xf numFmtId="0" fontId="159" fillId="0" borderId="0" applyNumberFormat="0" applyFill="0" applyBorder="0" applyAlignment="0" applyProtection="0"/>
  </cellStyleXfs>
  <cellXfs count="962">
    <xf numFmtId="0" fontId="0" fillId="0" borderId="0" xfId="0" applyAlignment="1">
      <alignment/>
    </xf>
    <xf numFmtId="164" fontId="3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164" fontId="6" fillId="0" borderId="0" xfId="42" applyNumberFormat="1" applyFont="1" applyAlignment="1">
      <alignment/>
    </xf>
    <xf numFmtId="37" fontId="7" fillId="0" borderId="0" xfId="42" applyNumberFormat="1" applyFont="1" applyAlignment="1">
      <alignment horizontal="centerContinuous"/>
    </xf>
    <xf numFmtId="164" fontId="8" fillId="0" borderId="0" xfId="42" applyNumberFormat="1" applyFont="1" applyAlignment="1">
      <alignment/>
    </xf>
    <xf numFmtId="37" fontId="9" fillId="0" borderId="10" xfId="42" applyNumberFormat="1" applyFont="1" applyBorder="1" applyAlignment="1">
      <alignment horizontal="center"/>
    </xf>
    <xf numFmtId="164" fontId="9" fillId="0" borderId="10" xfId="42" applyNumberFormat="1" applyFont="1" applyBorder="1" applyAlignment="1">
      <alignment horizontal="left"/>
    </xf>
    <xf numFmtId="164" fontId="9" fillId="0" borderId="0" xfId="42" applyNumberFormat="1" applyFont="1" applyAlignment="1">
      <alignment/>
    </xf>
    <xf numFmtId="164" fontId="10" fillId="0" borderId="0" xfId="42" applyNumberFormat="1" applyFont="1" applyAlignment="1">
      <alignment/>
    </xf>
    <xf numFmtId="164" fontId="7" fillId="0" borderId="0" xfId="42" applyNumberFormat="1" applyFont="1" applyAlignment="1" applyProtection="1">
      <alignment horizontal="right"/>
      <protection/>
    </xf>
    <xf numFmtId="164" fontId="7" fillId="0" borderId="0" xfId="42" applyNumberFormat="1" applyFont="1" applyAlignment="1" applyProtection="1">
      <alignment/>
      <protection/>
    </xf>
    <xf numFmtId="164" fontId="10" fillId="0" borderId="0" xfId="42" applyNumberFormat="1" applyFont="1" applyAlignment="1">
      <alignment horizontal="center"/>
    </xf>
    <xf numFmtId="37" fontId="10" fillId="0" borderId="10" xfId="42" applyNumberFormat="1" applyFont="1" applyBorder="1" applyAlignment="1" applyProtection="1">
      <alignment horizontal="center"/>
      <protection/>
    </xf>
    <xf numFmtId="37" fontId="9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 applyProtection="1">
      <alignment horizontal="left"/>
      <protection/>
    </xf>
    <xf numFmtId="0" fontId="9" fillId="0" borderId="0" xfId="42" applyNumberFormat="1" applyFont="1" applyAlignment="1" applyProtection="1">
      <alignment horizontal="center"/>
      <protection/>
    </xf>
    <xf numFmtId="164" fontId="7" fillId="0" borderId="0" xfId="42" applyNumberFormat="1" applyFont="1" applyAlignment="1">
      <alignment/>
    </xf>
    <xf numFmtId="164" fontId="7" fillId="0" borderId="0" xfId="42" applyNumberFormat="1" applyFont="1" applyAlignment="1" applyProtection="1">
      <alignment horizontal="left"/>
      <protection/>
    </xf>
    <xf numFmtId="164" fontId="9" fillId="0" borderId="11" xfId="42" applyNumberFormat="1" applyFont="1" applyBorder="1" applyAlignment="1">
      <alignment horizontal="left"/>
    </xf>
    <xf numFmtId="164" fontId="9" fillId="0" borderId="11" xfId="42" applyNumberFormat="1" applyFont="1" applyBorder="1" applyAlignment="1">
      <alignment/>
    </xf>
    <xf numFmtId="164" fontId="12" fillId="0" borderId="0" xfId="42" applyNumberFormat="1" applyFont="1" applyAlignment="1">
      <alignment/>
    </xf>
    <xf numFmtId="37" fontId="9" fillId="0" borderId="0" xfId="42" applyNumberFormat="1" applyFont="1" applyBorder="1" applyAlignment="1" applyProtection="1">
      <alignment horizontal="center"/>
      <protection/>
    </xf>
    <xf numFmtId="164" fontId="9" fillId="0" borderId="0" xfId="42" applyNumberFormat="1" applyFont="1" applyBorder="1" applyAlignment="1" applyProtection="1">
      <alignment horizontal="left"/>
      <protection/>
    </xf>
    <xf numFmtId="164" fontId="9" fillId="0" borderId="0" xfId="42" applyNumberFormat="1" applyFont="1" applyAlignment="1">
      <alignment horizontal="left"/>
    </xf>
    <xf numFmtId="37" fontId="9" fillId="0" borderId="0" xfId="42" applyNumberFormat="1" applyFont="1" applyAlignment="1">
      <alignment horizontal="center"/>
    </xf>
    <xf numFmtId="37" fontId="7" fillId="0" borderId="0" xfId="42" applyNumberFormat="1" applyFont="1" applyAlignment="1">
      <alignment/>
    </xf>
    <xf numFmtId="37" fontId="7" fillId="0" borderId="0" xfId="58" applyNumberFormat="1" applyFont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4" fontId="7" fillId="0" borderId="0" xfId="56" applyNumberFormat="1" applyFont="1" applyAlignment="1">
      <alignment horizontal="right"/>
      <protection/>
    </xf>
    <xf numFmtId="1" fontId="7" fillId="0" borderId="12" xfId="42" applyNumberFormat="1" applyFont="1" applyBorder="1" applyAlignment="1">
      <alignment horizontal="center"/>
    </xf>
    <xf numFmtId="37" fontId="14" fillId="0" borderId="12" xfId="42" applyNumberFormat="1" applyFont="1" applyBorder="1" applyAlignment="1">
      <alignment horizontal="center"/>
    </xf>
    <xf numFmtId="1" fontId="7" fillId="0" borderId="0" xfId="42" applyNumberFormat="1" applyFont="1" applyBorder="1" applyAlignment="1">
      <alignment horizontal="center"/>
    </xf>
    <xf numFmtId="1" fontId="7" fillId="0" borderId="10" xfId="42" applyNumberFormat="1" applyFont="1" applyBorder="1" applyAlignment="1">
      <alignment horizontal="center"/>
    </xf>
    <xf numFmtId="1" fontId="9" fillId="0" borderId="0" xfId="42" applyNumberFormat="1" applyFont="1" applyBorder="1" applyAlignment="1">
      <alignment horizontal="left"/>
    </xf>
    <xf numFmtId="37" fontId="14" fillId="0" borderId="0" xfId="42" applyNumberFormat="1" applyFont="1" applyAlignment="1">
      <alignment horizontal="left"/>
    </xf>
    <xf numFmtId="164" fontId="14" fillId="0" borderId="0" xfId="0" applyNumberFormat="1" applyFont="1" applyAlignment="1">
      <alignment horizontal="left"/>
    </xf>
    <xf numFmtId="164" fontId="11" fillId="0" borderId="13" xfId="56" applyNumberFormat="1" applyFont="1" applyBorder="1" applyAlignment="1" applyProtection="1">
      <alignment horizontal="left"/>
      <protection/>
    </xf>
    <xf numFmtId="164" fontId="11" fillId="0" borderId="0" xfId="56" applyNumberFormat="1" applyFont="1" applyBorder="1" applyAlignment="1" applyProtection="1">
      <alignment horizontal="left"/>
      <protection/>
    </xf>
    <xf numFmtId="164" fontId="7" fillId="0" borderId="0" xfId="56" applyNumberFormat="1" applyFont="1" applyBorder="1" applyAlignment="1" applyProtection="1">
      <alignment horizontal="right"/>
      <protection/>
    </xf>
    <xf numFmtId="164" fontId="7" fillId="0" borderId="0" xfId="0" applyNumberFormat="1" applyFont="1" applyAlignment="1">
      <alignment horizontal="right"/>
    </xf>
    <xf numFmtId="164" fontId="7" fillId="0" borderId="0" xfId="56" applyNumberFormat="1" applyFont="1" applyFill="1" applyAlignment="1">
      <alignment horizontal="right"/>
      <protection/>
    </xf>
    <xf numFmtId="164" fontId="7" fillId="0" borderId="0" xfId="0" applyNumberFormat="1" applyFont="1" applyFill="1" applyAlignment="1">
      <alignment horizontal="right"/>
    </xf>
    <xf numFmtId="164" fontId="7" fillId="0" borderId="0" xfId="56" applyNumberFormat="1" applyFont="1" applyFill="1" applyAlignment="1" applyProtection="1">
      <alignment horizontal="right"/>
      <protection/>
    </xf>
    <xf numFmtId="164" fontId="7" fillId="0" borderId="0" xfId="56" applyNumberFormat="1" applyFont="1" applyFill="1" applyAlignment="1" quotePrefix="1">
      <alignment horizontal="right"/>
      <protection/>
    </xf>
    <xf numFmtId="164" fontId="11" fillId="0" borderId="13" xfId="56" applyNumberFormat="1" applyFont="1" applyFill="1" applyBorder="1" applyAlignment="1" applyProtection="1" quotePrefix="1">
      <alignment horizontal="left"/>
      <protection/>
    </xf>
    <xf numFmtId="164" fontId="11" fillId="0" borderId="0" xfId="56" applyNumberFormat="1" applyFont="1" applyFill="1" applyBorder="1" applyAlignment="1" applyProtection="1" quotePrefix="1">
      <alignment horizontal="left"/>
      <protection/>
    </xf>
    <xf numFmtId="37" fontId="9" fillId="0" borderId="0" xfId="42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7" fontId="7" fillId="0" borderId="0" xfId="42" applyNumberFormat="1" applyFont="1" applyBorder="1" applyAlignment="1">
      <alignment horizontal="center"/>
    </xf>
    <xf numFmtId="164" fontId="7" fillId="0" borderId="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0" fillId="0" borderId="0" xfId="56" applyNumberFormat="1" applyFont="1" applyAlignment="1" applyProtection="1">
      <alignment horizontal="left"/>
      <protection/>
    </xf>
    <xf numFmtId="0" fontId="17" fillId="0" borderId="0" xfId="0" applyFont="1" applyBorder="1" applyAlignment="1">
      <alignment horizontal="left"/>
    </xf>
    <xf numFmtId="164" fontId="7" fillId="0" borderId="0" xfId="56" applyNumberFormat="1" applyFont="1" applyAlignment="1" applyProtection="1">
      <alignment horizontal="right"/>
      <protection/>
    </xf>
    <xf numFmtId="164" fontId="7" fillId="0" borderId="0" xfId="56" applyNumberFormat="1" applyFont="1" applyAlignment="1" applyProtection="1" quotePrefix="1">
      <alignment horizontal="right"/>
      <protection/>
    </xf>
    <xf numFmtId="164" fontId="7" fillId="0" borderId="0" xfId="56" applyNumberFormat="1" applyFont="1" applyFill="1" applyAlignment="1">
      <alignment horizontal="right"/>
      <protection/>
    </xf>
    <xf numFmtId="0" fontId="9" fillId="0" borderId="14" xfId="42" applyNumberFormat="1" applyFont="1" applyBorder="1" applyAlignment="1" applyProtection="1">
      <alignment horizontal="center"/>
      <protection/>
    </xf>
    <xf numFmtId="164" fontId="7" fillId="0" borderId="14" xfId="42" applyNumberFormat="1" applyFont="1" applyBorder="1" applyAlignment="1" applyProtection="1">
      <alignment horizontal="left"/>
      <protection/>
    </xf>
    <xf numFmtId="164" fontId="7" fillId="0" borderId="14" xfId="42" applyNumberFormat="1" applyFont="1" applyBorder="1" applyAlignment="1">
      <alignment/>
    </xf>
    <xf numFmtId="164" fontId="7" fillId="0" borderId="0" xfId="56" applyNumberFormat="1" applyFont="1" applyFill="1" applyAlignment="1" applyProtection="1">
      <alignment horizontal="right"/>
      <protection/>
    </xf>
    <xf numFmtId="164" fontId="7" fillId="0" borderId="0" xfId="42" applyNumberFormat="1" applyFont="1" applyAlignment="1" applyProtection="1" quotePrefix="1">
      <alignment horizontal="left"/>
      <protection/>
    </xf>
    <xf numFmtId="164" fontId="7" fillId="0" borderId="0" xfId="42" applyNumberFormat="1" applyFont="1" applyAlignment="1">
      <alignment horizontal="left"/>
    </xf>
    <xf numFmtId="164" fontId="10" fillId="0" borderId="10" xfId="42" applyNumberFormat="1" applyFont="1" applyBorder="1" applyAlignment="1" applyProtection="1">
      <alignment horizontal="center"/>
      <protection/>
    </xf>
    <xf numFmtId="164" fontId="10" fillId="0" borderId="10" xfId="58" applyNumberFormat="1" applyFont="1" applyBorder="1" applyAlignment="1" quotePrefix="1">
      <alignment horizontal="center"/>
      <protection/>
    </xf>
    <xf numFmtId="37" fontId="10" fillId="0" borderId="10" xfId="42" applyNumberFormat="1" applyFont="1" applyBorder="1" applyAlignment="1" applyProtection="1" quotePrefix="1">
      <alignment horizontal="center"/>
      <protection/>
    </xf>
    <xf numFmtId="37" fontId="19" fillId="0" borderId="0" xfId="58" applyNumberFormat="1" applyFont="1">
      <alignment/>
      <protection/>
    </xf>
    <xf numFmtId="164" fontId="7" fillId="0" borderId="10" xfId="42" applyNumberFormat="1" applyFont="1" applyBorder="1" applyAlignment="1">
      <alignment/>
    </xf>
    <xf numFmtId="37" fontId="7" fillId="0" borderId="10" xfId="42" applyNumberFormat="1" applyFont="1" applyBorder="1" applyAlignment="1">
      <alignment/>
    </xf>
    <xf numFmtId="164" fontId="7" fillId="0" borderId="0" xfId="42" applyNumberFormat="1" applyFont="1" applyBorder="1" applyAlignment="1" applyProtection="1">
      <alignment horizontal="left"/>
      <protection/>
    </xf>
    <xf numFmtId="164" fontId="7" fillId="0" borderId="0" xfId="42" applyNumberFormat="1" applyFont="1" applyBorder="1" applyAlignment="1" applyProtection="1">
      <alignment/>
      <protection/>
    </xf>
    <xf numFmtId="37" fontId="7" fillId="0" borderId="0" xfId="42" applyNumberFormat="1" applyFont="1" applyBorder="1" applyAlignment="1" applyProtection="1">
      <alignment/>
      <protection/>
    </xf>
    <xf numFmtId="37" fontId="7" fillId="0" borderId="0" xfId="42" applyNumberFormat="1" applyFont="1" applyAlignment="1">
      <alignment horizontal="left"/>
    </xf>
    <xf numFmtId="166" fontId="7" fillId="0" borderId="0" xfId="42" applyNumberFormat="1" applyFont="1" applyAlignment="1">
      <alignment horizontal="right"/>
    </xf>
    <xf numFmtId="166" fontId="7" fillId="0" borderId="0" xfId="56" applyNumberFormat="1" applyFont="1" applyAlignment="1">
      <alignment horizontal="right"/>
      <protection/>
    </xf>
    <xf numFmtId="166" fontId="7" fillId="0" borderId="0" xfId="56" applyNumberFormat="1" applyFont="1" applyFill="1" applyAlignment="1">
      <alignment horizontal="right"/>
      <protection/>
    </xf>
    <xf numFmtId="37" fontId="7" fillId="0" borderId="12" xfId="42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7" fontId="7" fillId="0" borderId="10" xfId="42" applyNumberFormat="1" applyFont="1" applyBorder="1" applyAlignment="1">
      <alignment horizontal="center"/>
    </xf>
    <xf numFmtId="14" fontId="7" fillId="0" borderId="10" xfId="0" applyNumberFormat="1" applyFont="1" applyBorder="1" applyAlignment="1" quotePrefix="1">
      <alignment horizontal="center"/>
    </xf>
    <xf numFmtId="0" fontId="21" fillId="0" borderId="0" xfId="0" applyFont="1" applyAlignment="1">
      <alignment/>
    </xf>
    <xf numFmtId="0" fontId="7" fillId="0" borderId="0" xfId="60" applyFont="1" applyAlignment="1">
      <alignment horizontal="left"/>
      <protection/>
    </xf>
    <xf numFmtId="168" fontId="7" fillId="0" borderId="0" xfId="60" applyNumberFormat="1" applyFont="1" applyAlignment="1">
      <alignment horizontal="left"/>
      <protection/>
    </xf>
    <xf numFmtId="166" fontId="7" fillId="0" borderId="0" xfId="60" applyNumberFormat="1" applyFont="1" applyAlignment="1">
      <alignment horizontal="left"/>
      <protection/>
    </xf>
    <xf numFmtId="167" fontId="7" fillId="0" borderId="0" xfId="42" applyNumberFormat="1" applyFont="1" applyAlignment="1">
      <alignment horizontal="left"/>
    </xf>
    <xf numFmtId="0" fontId="7" fillId="0" borderId="15" xfId="60" applyFont="1" applyBorder="1" applyAlignment="1">
      <alignment horizontal="left"/>
      <protection/>
    </xf>
    <xf numFmtId="166" fontId="21" fillId="0" borderId="0" xfId="0" applyNumberFormat="1" applyFont="1" applyAlignment="1">
      <alignment/>
    </xf>
    <xf numFmtId="167" fontId="7" fillId="0" borderId="0" xfId="42" applyNumberFormat="1" applyFont="1" applyAlignment="1">
      <alignment/>
    </xf>
    <xf numFmtId="172" fontId="7" fillId="0" borderId="13" xfId="45" applyNumberFormat="1" applyFont="1" applyFill="1" applyBorder="1" applyAlignment="1">
      <alignment horizontal="right"/>
    </xf>
    <xf numFmtId="172" fontId="7" fillId="0" borderId="0" xfId="56" applyNumberFormat="1" applyFont="1" applyFill="1" applyBorder="1" applyAlignment="1" applyProtection="1" quotePrefix="1">
      <alignment horizontal="right"/>
      <protection/>
    </xf>
    <xf numFmtId="172" fontId="7" fillId="0" borderId="0" xfId="45" applyNumberFormat="1" applyFont="1" applyFill="1" applyBorder="1" applyAlignment="1">
      <alignment horizontal="right"/>
    </xf>
    <xf numFmtId="172" fontId="7" fillId="0" borderId="0" xfId="56" applyNumberFormat="1" applyFont="1" applyFill="1" applyAlignment="1">
      <alignment horizontal="right"/>
      <protection/>
    </xf>
    <xf numFmtId="172" fontId="7" fillId="0" borderId="0" xfId="0" applyNumberFormat="1" applyFont="1" applyFill="1" applyAlignment="1">
      <alignment horizontal="right"/>
    </xf>
    <xf numFmtId="172" fontId="7" fillId="0" borderId="13" xfId="45" applyNumberFormat="1" applyFont="1" applyBorder="1" applyAlignment="1" applyProtection="1">
      <alignment horizontal="right"/>
      <protection/>
    </xf>
    <xf numFmtId="164" fontId="11" fillId="0" borderId="0" xfId="56" applyNumberFormat="1" applyFont="1" applyFill="1" applyAlignment="1" applyProtection="1">
      <alignment horizontal="left"/>
      <protection/>
    </xf>
    <xf numFmtId="0" fontId="20" fillId="0" borderId="13" xfId="0" applyFont="1" applyFill="1" applyBorder="1" applyAlignment="1">
      <alignment/>
    </xf>
    <xf numFmtId="164" fontId="11" fillId="0" borderId="0" xfId="0" applyNumberFormat="1" applyFont="1" applyAlignment="1">
      <alignment horizontal="left"/>
    </xf>
    <xf numFmtId="164" fontId="11" fillId="0" borderId="0" xfId="56" applyNumberFormat="1" applyFont="1" applyAlignment="1">
      <alignment horizontal="left"/>
      <protection/>
    </xf>
    <xf numFmtId="164" fontId="11" fillId="0" borderId="0" xfId="56" applyNumberFormat="1" applyFont="1" applyFill="1" applyAlignment="1">
      <alignment horizontal="left"/>
      <protection/>
    </xf>
    <xf numFmtId="164" fontId="11" fillId="0" borderId="0" xfId="0" applyNumberFormat="1" applyFont="1" applyFill="1" applyAlignment="1">
      <alignment horizontal="left"/>
    </xf>
    <xf numFmtId="164" fontId="11" fillId="0" borderId="0" xfId="56" applyNumberFormat="1" applyFont="1" applyFill="1" applyAlignment="1" quotePrefix="1">
      <alignment horizontal="left"/>
      <protection/>
    </xf>
    <xf numFmtId="164" fontId="23" fillId="0" borderId="13" xfId="56" applyNumberFormat="1" applyFont="1" applyFill="1" applyBorder="1" applyAlignment="1" applyProtection="1">
      <alignment horizontal="left"/>
      <protection/>
    </xf>
    <xf numFmtId="0" fontId="11" fillId="0" borderId="0" xfId="0" applyFont="1" applyFill="1" applyAlignment="1">
      <alignment horizontal="left"/>
    </xf>
    <xf numFmtId="0" fontId="11" fillId="0" borderId="0" xfId="60" applyFont="1" applyAlignment="1">
      <alignment horizontal="left"/>
      <protection/>
    </xf>
    <xf numFmtId="0" fontId="11" fillId="0" borderId="15" xfId="60" applyFont="1" applyBorder="1" applyAlignment="1">
      <alignment horizontal="left"/>
      <protection/>
    </xf>
    <xf numFmtId="0" fontId="20" fillId="0" borderId="0" xfId="0" applyFont="1" applyAlignment="1">
      <alignment/>
    </xf>
    <xf numFmtId="164" fontId="24" fillId="0" borderId="0" xfId="56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" fontId="11" fillId="0" borderId="0" xfId="56" applyNumberFormat="1" applyFont="1" applyAlignment="1" applyProtection="1" quotePrefix="1">
      <alignment horizontal="center"/>
      <protection/>
    </xf>
    <xf numFmtId="1" fontId="23" fillId="0" borderId="0" xfId="56" applyNumberFormat="1" applyFont="1" applyAlignment="1" applyProtection="1" quotePrefix="1">
      <alignment horizontal="left"/>
      <protection/>
    </xf>
    <xf numFmtId="1" fontId="23" fillId="0" borderId="0" xfId="56" applyNumberFormat="1" applyFont="1" applyAlignment="1" applyProtection="1">
      <alignment horizontal="left"/>
      <protection/>
    </xf>
    <xf numFmtId="1" fontId="11" fillId="0" borderId="0" xfId="56" applyNumberFormat="1" applyFont="1" applyFill="1" applyAlignment="1" applyProtection="1" quotePrefix="1">
      <alignment horizontal="center"/>
      <protection/>
    </xf>
    <xf numFmtId="1" fontId="11" fillId="0" borderId="0" xfId="56" applyNumberFormat="1" applyFont="1" applyFill="1" applyAlignment="1">
      <alignment horizontal="left"/>
      <protection/>
    </xf>
    <xf numFmtId="1" fontId="23" fillId="0" borderId="0" xfId="56" applyNumberFormat="1" applyFont="1" applyFill="1" applyAlignment="1" applyProtection="1">
      <alignment horizontal="left"/>
      <protection/>
    </xf>
    <xf numFmtId="1" fontId="11" fillId="0" borderId="0" xfId="56" applyNumberFormat="1" applyFont="1" applyFill="1" applyAlignment="1" applyProtection="1">
      <alignment horizontal="center"/>
      <protection/>
    </xf>
    <xf numFmtId="1" fontId="11" fillId="0" borderId="0" xfId="56" applyNumberFormat="1" applyFont="1" applyFill="1" applyAlignment="1" applyProtection="1" quotePrefix="1">
      <alignment horizontal="left"/>
      <protection/>
    </xf>
    <xf numFmtId="1" fontId="23" fillId="0" borderId="0" xfId="56" applyNumberFormat="1" applyFont="1" applyFill="1" applyAlignment="1" applyProtection="1" quotePrefix="1">
      <alignment horizontal="left"/>
      <protection/>
    </xf>
    <xf numFmtId="1" fontId="11" fillId="0" borderId="0" xfId="56" applyNumberFormat="1" applyFont="1" applyFill="1" applyAlignment="1" quotePrefix="1">
      <alignment horizontal="center"/>
      <protection/>
    </xf>
    <xf numFmtId="1" fontId="11" fillId="0" borderId="0" xfId="56" applyNumberFormat="1" applyFont="1" applyFill="1" applyAlignment="1" quotePrefix="1">
      <alignment horizontal="left"/>
      <protection/>
    </xf>
    <xf numFmtId="0" fontId="11" fillId="0" borderId="0" xfId="62" applyFont="1" applyBorder="1">
      <alignment/>
      <protection/>
    </xf>
    <xf numFmtId="37" fontId="7" fillId="0" borderId="0" xfId="42" applyNumberFormat="1" applyFont="1" applyBorder="1" applyAlignment="1" applyProtection="1">
      <alignment horizontal="right"/>
      <protection/>
    </xf>
    <xf numFmtId="164" fontId="7" fillId="0" borderId="0" xfId="42" applyNumberFormat="1" applyFont="1" applyBorder="1" applyAlignment="1">
      <alignment horizontal="right"/>
    </xf>
    <xf numFmtId="37" fontId="7" fillId="0" borderId="0" xfId="42" applyNumberFormat="1" applyFont="1" applyBorder="1" applyAlignment="1" applyProtection="1">
      <alignment horizontal="center"/>
      <protection/>
    </xf>
    <xf numFmtId="37" fontId="7" fillId="0" borderId="0" xfId="42" applyNumberFormat="1" applyFont="1" applyBorder="1" applyAlignment="1" applyProtection="1">
      <alignment horizontal="centerContinuous"/>
      <protection/>
    </xf>
    <xf numFmtId="37" fontId="11" fillId="0" borderId="0" xfId="62" applyNumberFormat="1" applyFont="1" applyBorder="1">
      <alignment/>
      <protection/>
    </xf>
    <xf numFmtId="37" fontId="15" fillId="0" borderId="0" xfId="62" applyNumberFormat="1" applyFont="1" applyBorder="1">
      <alignment/>
      <protection/>
    </xf>
    <xf numFmtId="37" fontId="11" fillId="0" borderId="16" xfId="62" applyNumberFormat="1" applyFont="1" applyBorder="1">
      <alignment/>
      <protection/>
    </xf>
    <xf numFmtId="0" fontId="11" fillId="0" borderId="16" xfId="62" applyFont="1" applyBorder="1">
      <alignment/>
      <protection/>
    </xf>
    <xf numFmtId="37" fontId="15" fillId="0" borderId="16" xfId="62" applyNumberFormat="1" applyFont="1" applyBorder="1">
      <alignment/>
      <protection/>
    </xf>
    <xf numFmtId="37" fontId="7" fillId="0" borderId="0" xfId="42" applyNumberFormat="1" applyFont="1" applyBorder="1" applyAlignment="1" applyProtection="1">
      <alignment horizontal="left"/>
      <protection/>
    </xf>
    <xf numFmtId="37" fontId="17" fillId="0" borderId="0" xfId="62" applyNumberFormat="1" applyFont="1" applyBorder="1">
      <alignment/>
      <protection/>
    </xf>
    <xf numFmtId="37" fontId="17" fillId="0" borderId="0" xfId="42" applyNumberFormat="1" applyFont="1" applyBorder="1" applyAlignment="1">
      <alignment/>
    </xf>
    <xf numFmtId="0" fontId="7" fillId="0" borderId="0" xfId="62" applyFont="1" applyBorder="1">
      <alignment/>
      <protection/>
    </xf>
    <xf numFmtId="164" fontId="7" fillId="0" borderId="0" xfId="42" applyNumberFormat="1" applyFont="1" applyBorder="1" applyAlignment="1" applyProtection="1">
      <alignment/>
      <protection/>
    </xf>
    <xf numFmtId="164" fontId="7" fillId="0" borderId="0" xfId="42" applyNumberFormat="1" applyFont="1" applyBorder="1" applyAlignment="1">
      <alignment/>
    </xf>
    <xf numFmtId="0" fontId="7" fillId="0" borderId="0" xfId="57" applyFont="1" applyBorder="1">
      <alignment/>
      <protection/>
    </xf>
    <xf numFmtId="37" fontId="7" fillId="0" borderId="0" xfId="42" applyNumberFormat="1" applyFont="1" applyBorder="1" applyAlignment="1" applyProtection="1" quotePrefix="1">
      <alignment horizontal="left"/>
      <protection/>
    </xf>
    <xf numFmtId="164" fontId="17" fillId="0" borderId="0" xfId="62" applyNumberFormat="1" applyFont="1" applyBorder="1">
      <alignment/>
      <protection/>
    </xf>
    <xf numFmtId="37" fontId="10" fillId="0" borderId="0" xfId="42" applyNumberFormat="1" applyFont="1" applyBorder="1" applyAlignment="1" applyProtection="1">
      <alignment horizontal="center"/>
      <protection/>
    </xf>
    <xf numFmtId="37" fontId="10" fillId="0" borderId="0" xfId="42" applyNumberFormat="1" applyFont="1" applyBorder="1" applyAlignment="1" applyProtection="1">
      <alignment/>
      <protection/>
    </xf>
    <xf numFmtId="164" fontId="10" fillId="0" borderId="0" xfId="42" applyNumberFormat="1" applyFont="1" applyBorder="1" applyAlignment="1">
      <alignment/>
    </xf>
    <xf numFmtId="164" fontId="9" fillId="0" borderId="10" xfId="42" applyNumberFormat="1" applyFont="1" applyBorder="1" applyAlignment="1">
      <alignment/>
    </xf>
    <xf numFmtId="37" fontId="9" fillId="0" borderId="10" xfId="42" applyNumberFormat="1" applyFont="1" applyBorder="1" applyAlignment="1">
      <alignment/>
    </xf>
    <xf numFmtId="169" fontId="7" fillId="0" borderId="0" xfId="42" applyNumberFormat="1" applyFont="1" applyBorder="1" applyAlignment="1">
      <alignment/>
    </xf>
    <xf numFmtId="0" fontId="9" fillId="0" borderId="0" xfId="42" applyNumberFormat="1" applyFont="1" applyBorder="1" applyAlignment="1" applyProtection="1">
      <alignment horizontal="left"/>
      <protection/>
    </xf>
    <xf numFmtId="169" fontId="7" fillId="0" borderId="15" xfId="42" applyNumberFormat="1" applyFont="1" applyBorder="1" applyAlignment="1">
      <alignment/>
    </xf>
    <xf numFmtId="0" fontId="9" fillId="0" borderId="0" xfId="61" applyFont="1">
      <alignment/>
      <protection/>
    </xf>
    <xf numFmtId="166" fontId="7" fillId="0" borderId="0" xfId="42" applyNumberFormat="1" applyFont="1" applyAlignment="1">
      <alignment/>
    </xf>
    <xf numFmtId="0" fontId="9" fillId="0" borderId="12" xfId="61" applyFont="1" applyBorder="1">
      <alignment/>
      <protection/>
    </xf>
    <xf numFmtId="167" fontId="7" fillId="0" borderId="12" xfId="42" applyNumberFormat="1" applyFont="1" applyBorder="1" applyAlignment="1">
      <alignment/>
    </xf>
    <xf numFmtId="166" fontId="7" fillId="0" borderId="12" xfId="42" applyNumberFormat="1" applyFont="1" applyBorder="1" applyAlignment="1">
      <alignment/>
    </xf>
    <xf numFmtId="167" fontId="7" fillId="0" borderId="0" xfId="42" applyNumberFormat="1" applyFont="1" applyBorder="1" applyAlignment="1">
      <alignment horizontal="center"/>
    </xf>
    <xf numFmtId="166" fontId="7" fillId="0" borderId="0" xfId="42" applyNumberFormat="1" applyFont="1" applyBorder="1" applyAlignment="1">
      <alignment horizontal="center"/>
    </xf>
    <xf numFmtId="0" fontId="9" fillId="0" borderId="0" xfId="61" applyFont="1" applyAlignment="1">
      <alignment horizontal="right"/>
      <protection/>
    </xf>
    <xf numFmtId="0" fontId="9" fillId="0" borderId="0" xfId="61" applyFont="1" applyBorder="1" applyAlignment="1">
      <alignment horizontal="right"/>
      <protection/>
    </xf>
    <xf numFmtId="0" fontId="9" fillId="0" borderId="10" xfId="61" applyFont="1" applyBorder="1" applyAlignment="1">
      <alignment horizontal="right"/>
      <protection/>
    </xf>
    <xf numFmtId="167" fontId="7" fillId="0" borderId="10" xfId="42" applyNumberFormat="1" applyFont="1" applyBorder="1" applyAlignment="1">
      <alignment horizontal="right"/>
    </xf>
    <xf numFmtId="49" fontId="7" fillId="0" borderId="0" xfId="61" applyNumberFormat="1" applyFont="1">
      <alignment/>
      <protection/>
    </xf>
    <xf numFmtId="49" fontId="7" fillId="0" borderId="15" xfId="61" applyNumberFormat="1" applyFont="1" applyBorder="1">
      <alignment/>
      <protection/>
    </xf>
    <xf numFmtId="0" fontId="9" fillId="0" borderId="0" xfId="57" applyFont="1">
      <alignment/>
      <protection/>
    </xf>
    <xf numFmtId="164" fontId="8" fillId="0" borderId="0" xfId="42" applyNumberFormat="1" applyFont="1" applyBorder="1" applyAlignment="1">
      <alignment/>
    </xf>
    <xf numFmtId="167" fontId="7" fillId="0" borderId="0" xfId="42" applyNumberFormat="1" applyFont="1" applyAlignment="1">
      <alignment horizontal="centerContinuous"/>
    </xf>
    <xf numFmtId="166" fontId="7" fillId="0" borderId="0" xfId="42" applyNumberFormat="1" applyFont="1" applyAlignment="1">
      <alignment horizontal="centerContinuous"/>
    </xf>
    <xf numFmtId="0" fontId="7" fillId="0" borderId="0" xfId="61" applyFont="1" applyBorder="1" applyAlignment="1">
      <alignment horizontal="centerContinuous"/>
      <protection/>
    </xf>
    <xf numFmtId="0" fontId="7" fillId="0" borderId="0" xfId="61" applyFont="1" applyAlignment="1">
      <alignment horizontal="right"/>
      <protection/>
    </xf>
    <xf numFmtId="0" fontId="7" fillId="0" borderId="0" xfId="61" applyFont="1" applyBorder="1" applyAlignment="1">
      <alignment horizontal="right"/>
      <protection/>
    </xf>
    <xf numFmtId="0" fontId="7" fillId="0" borderId="10" xfId="61" applyFont="1" applyBorder="1" applyAlignment="1">
      <alignment horizontal="right"/>
      <protection/>
    </xf>
    <xf numFmtId="167" fontId="7" fillId="0" borderId="10" xfId="42" applyNumberFormat="1" applyFont="1" applyBorder="1" applyAlignment="1">
      <alignment horizontal="center"/>
    </xf>
    <xf numFmtId="0" fontId="7" fillId="0" borderId="0" xfId="61" applyFont="1">
      <alignment/>
      <protection/>
    </xf>
    <xf numFmtId="167" fontId="7" fillId="0" borderId="0" xfId="42" applyNumberFormat="1" applyFont="1" applyAlignment="1">
      <alignment horizontal="center"/>
    </xf>
    <xf numFmtId="166" fontId="7" fillId="0" borderId="0" xfId="42" applyNumberFormat="1" applyFont="1" applyAlignment="1">
      <alignment horizontal="center"/>
    </xf>
    <xf numFmtId="49" fontId="7" fillId="0" borderId="0" xfId="61" applyNumberFormat="1" applyFont="1" quotePrefix="1">
      <alignment/>
      <protection/>
    </xf>
    <xf numFmtId="0" fontId="7" fillId="0" borderId="0" xfId="57" applyFont="1">
      <alignment/>
      <protection/>
    </xf>
    <xf numFmtId="0" fontId="2" fillId="0" borderId="0" xfId="57" applyFont="1">
      <alignment/>
      <protection/>
    </xf>
    <xf numFmtId="172" fontId="7" fillId="0" borderId="15" xfId="45" applyNumberFormat="1" applyFont="1" applyBorder="1" applyAlignment="1">
      <alignment/>
    </xf>
    <xf numFmtId="0" fontId="21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0" borderId="15" xfId="60" applyFont="1" applyBorder="1" applyAlignment="1">
      <alignment horizontal="left"/>
      <protection/>
    </xf>
    <xf numFmtId="172" fontId="7" fillId="0" borderId="15" xfId="42" applyNumberFormat="1" applyFont="1" applyBorder="1" applyAlignment="1">
      <alignment horizontal="right"/>
    </xf>
    <xf numFmtId="164" fontId="7" fillId="0" borderId="0" xfId="42" applyNumberFormat="1" applyFont="1" applyBorder="1" applyAlignment="1">
      <alignment/>
    </xf>
    <xf numFmtId="164" fontId="7" fillId="0" borderId="0" xfId="45" applyNumberFormat="1" applyFont="1" applyAlignment="1">
      <alignment horizontal="right" readingOrder="1"/>
    </xf>
    <xf numFmtId="0" fontId="9" fillId="0" borderId="0" xfId="57" applyFont="1" applyAlignment="1">
      <alignment horizontal="right"/>
      <protection/>
    </xf>
    <xf numFmtId="166" fontId="7" fillId="0" borderId="0" xfId="42" applyNumberFormat="1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56" applyNumberFormat="1" applyFont="1" applyAlignment="1">
      <alignment/>
      <protection/>
    </xf>
    <xf numFmtId="164" fontId="18" fillId="0" borderId="0" xfId="56" applyNumberFormat="1" applyFont="1" applyFill="1" applyAlignment="1">
      <alignment/>
      <protection/>
    </xf>
    <xf numFmtId="164" fontId="7" fillId="0" borderId="0" xfId="42" applyNumberFormat="1" applyFont="1" applyAlignment="1">
      <alignment horizontal="right"/>
    </xf>
    <xf numFmtId="164" fontId="7" fillId="0" borderId="0" xfId="42" applyNumberFormat="1" applyFont="1" applyFill="1" applyAlignment="1">
      <alignment horizontal="right"/>
    </xf>
    <xf numFmtId="172" fontId="7" fillId="0" borderId="15" xfId="45" applyNumberFormat="1" applyFont="1" applyBorder="1" applyAlignment="1">
      <alignment horizontal="right" readingOrder="1"/>
    </xf>
    <xf numFmtId="37" fontId="6" fillId="0" borderId="0" xfId="42" applyNumberFormat="1" applyFont="1" applyAlignment="1">
      <alignment horizontal="center"/>
    </xf>
    <xf numFmtId="1" fontId="7" fillId="0" borderId="0" xfId="42" applyNumberFormat="1" applyFont="1" applyAlignment="1">
      <alignment horizontal="centerContinuous"/>
    </xf>
    <xf numFmtId="0" fontId="21" fillId="0" borderId="0" xfId="0" applyFont="1" applyAlignment="1">
      <alignment horizontal="center"/>
    </xf>
    <xf numFmtId="37" fontId="14" fillId="0" borderId="10" xfId="42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0" xfId="56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64" fontId="7" fillId="0" borderId="0" xfId="56" applyNumberFormat="1" applyFont="1" applyAlignment="1">
      <alignment horizontal="right"/>
      <protection/>
    </xf>
    <xf numFmtId="169" fontId="18" fillId="0" borderId="0" xfId="65" applyNumberFormat="1" applyFont="1" applyFill="1" applyAlignment="1">
      <alignment/>
    </xf>
    <xf numFmtId="169" fontId="18" fillId="0" borderId="13" xfId="65" applyNumberFormat="1" applyFont="1" applyFill="1" applyBorder="1" applyAlignment="1">
      <alignment/>
    </xf>
    <xf numFmtId="1" fontId="10" fillId="0" borderId="0" xfId="56" applyNumberFormat="1" applyFont="1" applyFill="1" applyAlignment="1" applyProtection="1" quotePrefix="1">
      <alignment horizontal="left"/>
      <protection/>
    </xf>
    <xf numFmtId="164" fontId="14" fillId="0" borderId="0" xfId="56" applyNumberFormat="1" applyFont="1" applyFill="1" applyAlignment="1" applyProtection="1">
      <alignment horizontal="left"/>
      <protection/>
    </xf>
    <xf numFmtId="164" fontId="14" fillId="0" borderId="13" xfId="56" applyNumberFormat="1" applyFont="1" applyFill="1" applyBorder="1" applyAlignment="1" applyProtection="1" quotePrefix="1">
      <alignment horizontal="left"/>
      <protection/>
    </xf>
    <xf numFmtId="169" fontId="7" fillId="0" borderId="13" xfId="65" applyNumberFormat="1" applyFont="1" applyFill="1" applyBorder="1" applyAlignment="1">
      <alignment horizontal="right"/>
    </xf>
    <xf numFmtId="164" fontId="14" fillId="0" borderId="0" xfId="56" applyNumberFormat="1" applyFont="1" applyFill="1" applyBorder="1" applyAlignment="1" applyProtection="1" quotePrefix="1">
      <alignment horizontal="left"/>
      <protection/>
    </xf>
    <xf numFmtId="164" fontId="7" fillId="0" borderId="12" xfId="56" applyNumberFormat="1" applyFont="1" applyFill="1" applyBorder="1" applyAlignment="1" applyProtection="1" quotePrefix="1">
      <alignment horizontal="right"/>
      <protection/>
    </xf>
    <xf numFmtId="171" fontId="7" fillId="0" borderId="12" xfId="45" applyNumberFormat="1" applyFont="1" applyFill="1" applyBorder="1" applyAlignment="1">
      <alignment horizontal="right"/>
    </xf>
    <xf numFmtId="1" fontId="7" fillId="0" borderId="0" xfId="56" applyNumberFormat="1" applyFont="1" applyFill="1" applyAlignment="1">
      <alignment horizontal="left"/>
      <protection/>
    </xf>
    <xf numFmtId="164" fontId="14" fillId="0" borderId="0" xfId="56" applyNumberFormat="1" applyFont="1" applyFill="1" applyAlignment="1">
      <alignment horizontal="left"/>
      <protection/>
    </xf>
    <xf numFmtId="172" fontId="7" fillId="0" borderId="10" xfId="45" applyNumberFormat="1" applyFont="1" applyBorder="1" applyAlignment="1" applyProtection="1">
      <alignment horizontal="right"/>
      <protection/>
    </xf>
    <xf numFmtId="164" fontId="22" fillId="0" borderId="13" xfId="56" applyNumberFormat="1" applyFont="1" applyFill="1" applyBorder="1" applyAlignment="1" applyProtection="1">
      <alignment horizontal="left"/>
      <protection/>
    </xf>
    <xf numFmtId="172" fontId="7" fillId="0" borderId="13" xfId="56" applyNumberFormat="1" applyFont="1" applyBorder="1" applyAlignment="1" applyProtection="1">
      <alignment horizontal="right"/>
      <protection/>
    </xf>
    <xf numFmtId="166" fontId="7" fillId="0" borderId="0" xfId="42" applyNumberFormat="1" applyFont="1" applyAlignment="1" applyProtection="1">
      <alignment horizontal="right"/>
      <protection/>
    </xf>
    <xf numFmtId="0" fontId="0" fillId="0" borderId="0" xfId="0" applyBorder="1" applyAlignment="1">
      <alignment/>
    </xf>
    <xf numFmtId="0" fontId="9" fillId="0" borderId="0" xfId="42" applyNumberFormat="1" applyFont="1" applyFill="1" applyAlignment="1" applyProtection="1">
      <alignment horizontal="center"/>
      <protection/>
    </xf>
    <xf numFmtId="164" fontId="7" fillId="0" borderId="0" xfId="42" applyNumberFormat="1" applyFont="1" applyFill="1" applyAlignment="1" applyProtection="1">
      <alignment horizontal="left"/>
      <protection/>
    </xf>
    <xf numFmtId="169" fontId="18" fillId="0" borderId="10" xfId="65" applyNumberFormat="1" applyFont="1" applyFill="1" applyBorder="1" applyAlignment="1">
      <alignment/>
    </xf>
    <xf numFmtId="0" fontId="27" fillId="0" borderId="0" xfId="0" applyFont="1" applyAlignment="1">
      <alignment horizontal="center"/>
    </xf>
    <xf numFmtId="0" fontId="28" fillId="0" borderId="17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8" fillId="0" borderId="18" xfId="0" applyFont="1" applyFill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29" fillId="0" borderId="21" xfId="0" applyFont="1" applyFill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1" xfId="0" applyFont="1" applyFill="1" applyBorder="1" applyAlignment="1">
      <alignment horizontal="left" indent="1"/>
    </xf>
    <xf numFmtId="0" fontId="28" fillId="0" borderId="2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7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 horizontal="center"/>
    </xf>
    <xf numFmtId="49" fontId="7" fillId="0" borderId="0" xfId="61" applyNumberFormat="1" applyFont="1" applyFill="1" quotePrefix="1">
      <alignment/>
      <protection/>
    </xf>
    <xf numFmtId="169" fontId="7" fillId="0" borderId="0" xfId="42" applyNumberFormat="1" applyFont="1" applyAlignment="1">
      <alignment/>
    </xf>
    <xf numFmtId="169" fontId="7" fillId="0" borderId="0" xfId="42" applyNumberFormat="1" applyFont="1" applyFill="1" applyAlignment="1">
      <alignment/>
    </xf>
    <xf numFmtId="169" fontId="7" fillId="0" borderId="0" xfId="42" applyNumberFormat="1" applyFont="1" applyAlignment="1">
      <alignment horizontal="right"/>
    </xf>
    <xf numFmtId="169" fontId="7" fillId="0" borderId="0" xfId="42" applyNumberFormat="1" applyFont="1" applyAlignment="1">
      <alignment/>
    </xf>
    <xf numFmtId="169" fontId="25" fillId="0" borderId="0" xfId="42" applyNumberFormat="1" applyFont="1" applyAlignment="1">
      <alignment/>
    </xf>
    <xf numFmtId="0" fontId="26" fillId="0" borderId="0" xfId="0" applyFont="1" applyAlignment="1">
      <alignment/>
    </xf>
    <xf numFmtId="0" fontId="31" fillId="0" borderId="22" xfId="0" applyFont="1" applyBorder="1" applyAlignment="1">
      <alignment/>
    </xf>
    <xf numFmtId="0" fontId="31" fillId="0" borderId="23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33" fillId="0" borderId="21" xfId="0" applyFont="1" applyFill="1" applyBorder="1" applyAlignment="1">
      <alignment/>
    </xf>
    <xf numFmtId="0" fontId="33" fillId="0" borderId="21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left" indent="1"/>
    </xf>
    <xf numFmtId="0" fontId="35" fillId="0" borderId="21" xfId="0" applyFont="1" applyFill="1" applyBorder="1" applyAlignment="1">
      <alignment horizontal="left" indent="1"/>
    </xf>
    <xf numFmtId="1" fontId="4" fillId="0" borderId="0" xfId="42" applyNumberFormat="1" applyFont="1" applyBorder="1" applyAlignment="1">
      <alignment horizontal="center"/>
    </xf>
    <xf numFmtId="166" fontId="7" fillId="0" borderId="0" xfId="42" applyNumberFormat="1" applyFont="1" applyAlignment="1">
      <alignment/>
    </xf>
    <xf numFmtId="166" fontId="7" fillId="0" borderId="0" xfId="42" applyNumberFormat="1" applyFont="1" applyFill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36" fillId="0" borderId="28" xfId="0" applyFont="1" applyBorder="1" applyAlignment="1">
      <alignment horizontal="left"/>
    </xf>
    <xf numFmtId="0" fontId="36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21" fillId="0" borderId="2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41" fillId="0" borderId="3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1" fillId="0" borderId="32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33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0" borderId="32" xfId="0" applyFont="1" applyFill="1" applyBorder="1" applyAlignment="1">
      <alignment horizontal="center"/>
    </xf>
    <xf numFmtId="0" fontId="37" fillId="0" borderId="28" xfId="0" applyFont="1" applyBorder="1" applyAlignment="1">
      <alignment horizontal="left"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37" fillId="0" borderId="29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0" xfId="0" applyFont="1" applyBorder="1" applyAlignment="1">
      <alignment horizontal="left"/>
    </xf>
    <xf numFmtId="164" fontId="21" fillId="0" borderId="0" xfId="42" applyNumberFormat="1" applyFont="1" applyBorder="1" applyAlignment="1" applyProtection="1">
      <alignment/>
      <protection/>
    </xf>
    <xf numFmtId="167" fontId="21" fillId="0" borderId="0" xfId="42" applyNumberFormat="1" applyFont="1" applyFill="1" applyBorder="1" applyAlignment="1" quotePrefix="1">
      <alignment horizontal="left"/>
    </xf>
    <xf numFmtId="37" fontId="21" fillId="0" borderId="31" xfId="42" applyNumberFormat="1" applyFont="1" applyBorder="1" applyAlignment="1">
      <alignment horizontal="right"/>
    </xf>
    <xf numFmtId="167" fontId="21" fillId="0" borderId="0" xfId="42" applyNumberFormat="1" applyFont="1" applyFill="1" applyBorder="1" applyAlignment="1" quotePrefix="1">
      <alignment horizontal="center"/>
    </xf>
    <xf numFmtId="37" fontId="21" fillId="0" borderId="31" xfId="42" applyNumberFormat="1" applyFont="1" applyBorder="1" applyAlignment="1">
      <alignment/>
    </xf>
    <xf numFmtId="37" fontId="21" fillId="0" borderId="30" xfId="42" applyNumberFormat="1" applyFont="1" applyBorder="1" applyAlignment="1">
      <alignment/>
    </xf>
    <xf numFmtId="37" fontId="21" fillId="0" borderId="0" xfId="42" applyNumberFormat="1" applyFont="1" applyBorder="1" applyAlignment="1">
      <alignment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 quotePrefix="1">
      <alignment horizontal="left"/>
    </xf>
    <xf numFmtId="0" fontId="21" fillId="0" borderId="36" xfId="0" applyFont="1" applyBorder="1" applyAlignment="1">
      <alignment horizontal="left"/>
    </xf>
    <xf numFmtId="167" fontId="21" fillId="0" borderId="36" xfId="42" applyNumberFormat="1" applyFont="1" applyFill="1" applyBorder="1" applyAlignment="1" quotePrefix="1">
      <alignment horizontal="left"/>
    </xf>
    <xf numFmtId="37" fontId="21" fillId="0" borderId="37" xfId="42" applyNumberFormat="1" applyFont="1" applyBorder="1" applyAlignment="1">
      <alignment horizontal="right"/>
    </xf>
    <xf numFmtId="37" fontId="21" fillId="0" borderId="37" xfId="42" applyNumberFormat="1" applyFont="1" applyBorder="1" applyAlignment="1">
      <alignment/>
    </xf>
    <xf numFmtId="37" fontId="21" fillId="0" borderId="38" xfId="42" applyNumberFormat="1" applyFont="1" applyBorder="1" applyAlignment="1">
      <alignment/>
    </xf>
    <xf numFmtId="37" fontId="21" fillId="0" borderId="39" xfId="42" applyNumberFormat="1" applyFont="1" applyBorder="1" applyAlignment="1">
      <alignment/>
    </xf>
    <xf numFmtId="37" fontId="21" fillId="0" borderId="40" xfId="42" applyNumberFormat="1" applyFont="1" applyBorder="1" applyAlignment="1">
      <alignment/>
    </xf>
    <xf numFmtId="164" fontId="21" fillId="0" borderId="0" xfId="42" applyNumberFormat="1" applyFont="1" applyBorder="1" applyAlignment="1" applyProtection="1">
      <alignment horizontal="left"/>
      <protection/>
    </xf>
    <xf numFmtId="41" fontId="21" fillId="0" borderId="37" xfId="42" applyNumberFormat="1" applyFont="1" applyBorder="1" applyAlignment="1">
      <alignment horizontal="right"/>
    </xf>
    <xf numFmtId="41" fontId="21" fillId="0" borderId="37" xfId="42" applyNumberFormat="1" applyFont="1" applyBorder="1" applyAlignment="1">
      <alignment/>
    </xf>
    <xf numFmtId="170" fontId="21" fillId="0" borderId="38" xfId="42" applyNumberFormat="1" applyFont="1" applyBorder="1" applyAlignment="1">
      <alignment/>
    </xf>
    <xf numFmtId="170" fontId="21" fillId="0" borderId="39" xfId="42" applyNumberFormat="1" applyFont="1" applyBorder="1" applyAlignment="1">
      <alignment/>
    </xf>
    <xf numFmtId="170" fontId="21" fillId="0" borderId="40" xfId="42" applyNumberFormat="1" applyFont="1" applyBorder="1" applyAlignment="1">
      <alignment/>
    </xf>
    <xf numFmtId="164" fontId="21" fillId="0" borderId="0" xfId="42" applyNumberFormat="1" applyFont="1" applyAlignment="1" applyProtection="1" quotePrefix="1">
      <alignment horizontal="left"/>
      <protection/>
    </xf>
    <xf numFmtId="164" fontId="21" fillId="0" borderId="0" xfId="42" applyNumberFormat="1" applyFont="1" applyAlignment="1" applyProtection="1">
      <alignment horizontal="left"/>
      <protection/>
    </xf>
    <xf numFmtId="41" fontId="21" fillId="0" borderId="31" xfId="42" applyNumberFormat="1" applyFont="1" applyFill="1" applyBorder="1" applyAlignment="1">
      <alignment/>
    </xf>
    <xf numFmtId="37" fontId="21" fillId="0" borderId="30" xfId="42" applyNumberFormat="1" applyFont="1" applyFill="1" applyBorder="1" applyAlignment="1">
      <alignment/>
    </xf>
    <xf numFmtId="37" fontId="21" fillId="0" borderId="0" xfId="42" applyNumberFormat="1" applyFont="1" applyFill="1" applyBorder="1" applyAlignment="1">
      <alignment/>
    </xf>
    <xf numFmtId="37" fontId="21" fillId="0" borderId="41" xfId="42" applyNumberFormat="1" applyFont="1" applyBorder="1" applyAlignment="1">
      <alignment/>
    </xf>
    <xf numFmtId="174" fontId="21" fillId="0" borderId="39" xfId="42" applyNumberFormat="1" applyFont="1" applyBorder="1" applyAlignment="1">
      <alignment/>
    </xf>
    <xf numFmtId="174" fontId="21" fillId="0" borderId="40" xfId="42" applyNumberFormat="1" applyFont="1" applyBorder="1" applyAlignment="1">
      <alignment/>
    </xf>
    <xf numFmtId="0" fontId="21" fillId="0" borderId="0" xfId="0" applyFont="1" applyBorder="1" applyAlignment="1" quotePrefix="1">
      <alignment horizontal="left"/>
    </xf>
    <xf numFmtId="37" fontId="21" fillId="0" borderId="42" xfId="42" applyNumberFormat="1" applyFont="1" applyBorder="1" applyAlignment="1">
      <alignment horizontal="right"/>
    </xf>
    <xf numFmtId="41" fontId="21" fillId="0" borderId="31" xfId="42" applyNumberFormat="1" applyFont="1" applyBorder="1" applyAlignment="1">
      <alignment horizontal="center"/>
    </xf>
    <xf numFmtId="0" fontId="21" fillId="0" borderId="43" xfId="0" applyFont="1" applyBorder="1" applyAlignment="1" quotePrefix="1">
      <alignment horizontal="left"/>
    </xf>
    <xf numFmtId="0" fontId="21" fillId="0" borderId="44" xfId="0" applyFont="1" applyBorder="1" applyAlignment="1" quotePrefix="1">
      <alignment horizontal="left"/>
    </xf>
    <xf numFmtId="167" fontId="21" fillId="0" borderId="44" xfId="42" applyNumberFormat="1" applyFont="1" applyFill="1" applyBorder="1" applyAlignment="1" quotePrefix="1">
      <alignment horizontal="left"/>
    </xf>
    <xf numFmtId="167" fontId="21" fillId="0" borderId="44" xfId="42" applyNumberFormat="1" applyFont="1" applyFill="1" applyBorder="1" applyAlignment="1">
      <alignment horizontal="center"/>
    </xf>
    <xf numFmtId="37" fontId="21" fillId="0" borderId="45" xfId="42" applyNumberFormat="1" applyFont="1" applyBorder="1" applyAlignment="1">
      <alignment horizontal="right"/>
    </xf>
    <xf numFmtId="41" fontId="21" fillId="0" borderId="45" xfId="42" applyNumberFormat="1" applyFont="1" applyBorder="1" applyAlignment="1">
      <alignment horizontal="center"/>
    </xf>
    <xf numFmtId="37" fontId="21" fillId="0" borderId="43" xfId="42" applyNumberFormat="1" applyFont="1" applyBorder="1" applyAlignment="1">
      <alignment/>
    </xf>
    <xf numFmtId="37" fontId="21" fillId="0" borderId="44" xfId="42" applyNumberFormat="1" applyFont="1" applyBorder="1" applyAlignment="1">
      <alignment/>
    </xf>
    <xf numFmtId="37" fontId="21" fillId="0" borderId="45" xfId="42" applyNumberFormat="1" applyFont="1" applyBorder="1" applyAlignment="1">
      <alignment/>
    </xf>
    <xf numFmtId="37" fontId="21" fillId="0" borderId="0" xfId="42" applyNumberFormat="1" applyFont="1" applyBorder="1" applyAlignment="1" quotePrefix="1">
      <alignment horizontal="center"/>
    </xf>
    <xf numFmtId="0" fontId="21" fillId="0" borderId="32" xfId="0" applyFont="1" applyBorder="1" applyAlignment="1">
      <alignment horizontal="left"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 horizontal="left"/>
    </xf>
    <xf numFmtId="167" fontId="21" fillId="0" borderId="10" xfId="42" applyNumberFormat="1" applyFont="1" applyFill="1" applyBorder="1" applyAlignment="1" quotePrefix="1">
      <alignment horizontal="center"/>
    </xf>
    <xf numFmtId="37" fontId="21" fillId="0" borderId="33" xfId="42" applyNumberFormat="1" applyFont="1" applyBorder="1" applyAlignment="1">
      <alignment horizontal="right"/>
    </xf>
    <xf numFmtId="37" fontId="21" fillId="0" borderId="33" xfId="42" applyNumberFormat="1" applyFont="1" applyBorder="1" applyAlignment="1">
      <alignment/>
    </xf>
    <xf numFmtId="37" fontId="21" fillId="0" borderId="32" xfId="42" applyNumberFormat="1" applyFont="1" applyBorder="1" applyAlignment="1">
      <alignment/>
    </xf>
    <xf numFmtId="37" fontId="21" fillId="0" borderId="10" xfId="42" applyNumberFormat="1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12" xfId="0" applyFont="1" applyBorder="1" applyAlignment="1">
      <alignment/>
    </xf>
    <xf numFmtId="167" fontId="37" fillId="0" borderId="0" xfId="42" applyNumberFormat="1" applyFont="1" applyFill="1" applyBorder="1" applyAlignment="1" quotePrefix="1">
      <alignment horizontal="center"/>
    </xf>
    <xf numFmtId="37" fontId="37" fillId="0" borderId="31" xfId="42" applyNumberFormat="1" applyFont="1" applyBorder="1" applyAlignment="1">
      <alignment horizontal="right"/>
    </xf>
    <xf numFmtId="37" fontId="37" fillId="0" borderId="31" xfId="42" applyNumberFormat="1" applyFont="1" applyBorder="1" applyAlignment="1">
      <alignment/>
    </xf>
    <xf numFmtId="37" fontId="37" fillId="0" borderId="30" xfId="42" applyNumberFormat="1" applyFont="1" applyBorder="1" applyAlignment="1">
      <alignment/>
    </xf>
    <xf numFmtId="37" fontId="37" fillId="0" borderId="0" xfId="42" applyNumberFormat="1" applyFont="1" applyBorder="1" applyAlignment="1">
      <alignment/>
    </xf>
    <xf numFmtId="167" fontId="21" fillId="0" borderId="0" xfId="42" applyNumberFormat="1" applyFont="1" applyFill="1" applyBorder="1" applyAlignment="1">
      <alignment horizontal="center"/>
    </xf>
    <xf numFmtId="0" fontId="21" fillId="0" borderId="44" xfId="0" applyFont="1" applyBorder="1" applyAlignment="1">
      <alignment horizontal="left"/>
    </xf>
    <xf numFmtId="41" fontId="21" fillId="0" borderId="45" xfId="42" applyNumberFormat="1" applyFont="1" applyBorder="1" applyAlignment="1">
      <alignment/>
    </xf>
    <xf numFmtId="0" fontId="37" fillId="0" borderId="46" xfId="0" applyFont="1" applyBorder="1" applyAlignment="1">
      <alignment/>
    </xf>
    <xf numFmtId="0" fontId="37" fillId="0" borderId="47" xfId="0" applyFont="1" applyBorder="1" applyAlignment="1">
      <alignment/>
    </xf>
    <xf numFmtId="167" fontId="37" fillId="0" borderId="10" xfId="42" applyNumberFormat="1" applyFont="1" applyFill="1" applyBorder="1" applyAlignment="1" quotePrefix="1">
      <alignment/>
    </xf>
    <xf numFmtId="37" fontId="37" fillId="0" borderId="33" xfId="42" applyNumberFormat="1" applyFont="1" applyBorder="1" applyAlignment="1">
      <alignment/>
    </xf>
    <xf numFmtId="37" fontId="37" fillId="0" borderId="10" xfId="42" applyNumberFormat="1" applyFont="1" applyBorder="1" applyAlignment="1" quotePrefix="1">
      <alignment/>
    </xf>
    <xf numFmtId="37" fontId="37" fillId="0" borderId="32" xfId="42" applyNumberFormat="1" applyFont="1" applyBorder="1" applyAlignment="1">
      <alignment/>
    </xf>
    <xf numFmtId="37" fontId="37" fillId="0" borderId="10" xfId="42" applyNumberFormat="1" applyFont="1" applyBorder="1" applyAlignment="1">
      <alignment/>
    </xf>
    <xf numFmtId="0" fontId="36" fillId="33" borderId="48" xfId="0" applyFont="1" applyFill="1" applyBorder="1" applyAlignment="1">
      <alignment horizontal="left"/>
    </xf>
    <xf numFmtId="0" fontId="36" fillId="33" borderId="15" xfId="0" applyFont="1" applyFill="1" applyBorder="1" applyAlignment="1">
      <alignment/>
    </xf>
    <xf numFmtId="0" fontId="36" fillId="33" borderId="15" xfId="0" applyFont="1" applyFill="1" applyBorder="1" applyAlignment="1">
      <alignment horizontal="left"/>
    </xf>
    <xf numFmtId="37" fontId="37" fillId="33" borderId="15" xfId="42" applyNumberFormat="1" applyFont="1" applyFill="1" applyBorder="1" applyAlignment="1">
      <alignment horizontal="right"/>
    </xf>
    <xf numFmtId="37" fontId="37" fillId="33" borderId="49" xfId="42" applyNumberFormat="1" applyFont="1" applyFill="1" applyBorder="1" applyAlignment="1">
      <alignment horizontal="right"/>
    </xf>
    <xf numFmtId="37" fontId="37" fillId="33" borderId="48" xfId="42" applyNumberFormat="1" applyFont="1" applyFill="1" applyBorder="1" applyAlignment="1">
      <alignment horizontal="right"/>
    </xf>
    <xf numFmtId="167" fontId="42" fillId="0" borderId="0" xfId="0" applyNumberFormat="1" applyFont="1" applyFill="1" applyAlignment="1">
      <alignment/>
    </xf>
    <xf numFmtId="37" fontId="37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 quotePrefix="1">
      <alignment horizontal="left"/>
    </xf>
    <xf numFmtId="0" fontId="43" fillId="0" borderId="0" xfId="0" applyFont="1" applyAlignment="1">
      <alignment horizontal="center"/>
    </xf>
    <xf numFmtId="167" fontId="4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 quotePrefix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167" fontId="45" fillId="0" borderId="0" xfId="0" applyNumberFormat="1" applyFont="1" applyAlignment="1">
      <alignment horizontal="center"/>
    </xf>
    <xf numFmtId="0" fontId="43" fillId="0" borderId="0" xfId="0" applyNumberFormat="1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28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28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28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41" fontId="21" fillId="0" borderId="28" xfId="0" applyNumberFormat="1" applyFont="1" applyBorder="1" applyAlignment="1">
      <alignment horizontal="center"/>
    </xf>
    <xf numFmtId="167" fontId="21" fillId="0" borderId="0" xfId="0" applyNumberFormat="1" applyFont="1" applyBorder="1" applyAlignment="1">
      <alignment horizontal="center"/>
    </xf>
    <xf numFmtId="167" fontId="21" fillId="0" borderId="12" xfId="0" applyNumberFormat="1" applyFont="1" applyBorder="1" applyAlignment="1">
      <alignment horizontal="center"/>
    </xf>
    <xf numFmtId="167" fontId="21" fillId="0" borderId="31" xfId="0" applyNumberFormat="1" applyFont="1" applyBorder="1" applyAlignment="1">
      <alignment horizontal="center"/>
    </xf>
    <xf numFmtId="0" fontId="37" fillId="33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59" applyFont="1" applyBorder="1">
      <alignment/>
      <protection/>
    </xf>
    <xf numFmtId="0" fontId="49" fillId="0" borderId="10" xfId="0" applyFont="1" applyBorder="1" applyAlignment="1">
      <alignment/>
    </xf>
    <xf numFmtId="0" fontId="50" fillId="0" borderId="10" xfId="59" applyFont="1" applyBorder="1">
      <alignment/>
      <protection/>
    </xf>
    <xf numFmtId="0" fontId="7" fillId="0" borderId="28" xfId="59" applyFont="1" applyBorder="1">
      <alignment/>
      <protection/>
    </xf>
    <xf numFmtId="0" fontId="7" fillId="0" borderId="12" xfId="59" applyFont="1" applyBorder="1">
      <alignment/>
      <protection/>
    </xf>
    <xf numFmtId="0" fontId="7" fillId="0" borderId="30" xfId="59" applyFont="1" applyBorder="1">
      <alignment/>
      <protection/>
    </xf>
    <xf numFmtId="0" fontId="7" fillId="0" borderId="0" xfId="59" applyFont="1" applyBorder="1">
      <alignment/>
      <protection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7" fillId="0" borderId="30" xfId="59" applyFont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37" fontId="7" fillId="0" borderId="0" xfId="42" applyNumberFormat="1" applyFont="1" applyBorder="1" applyAlignment="1">
      <alignment horizontal="center"/>
    </xf>
    <xf numFmtId="0" fontId="7" fillId="0" borderId="30" xfId="59" applyFont="1" applyBorder="1" applyAlignment="1" quotePrefix="1">
      <alignment horizontal="center"/>
      <protection/>
    </xf>
    <xf numFmtId="41" fontId="7" fillId="0" borderId="0" xfId="42" applyNumberFormat="1" applyFont="1" applyBorder="1" applyAlignment="1" quotePrefix="1">
      <alignment/>
    </xf>
    <xf numFmtId="41" fontId="7" fillId="0" borderId="31" xfId="59" applyNumberFormat="1" applyFont="1" applyBorder="1" applyAlignment="1">
      <alignment/>
      <protection/>
    </xf>
    <xf numFmtId="41" fontId="7" fillId="0" borderId="0" xfId="59" applyNumberFormat="1" applyFont="1" applyFill="1" applyBorder="1" applyAlignment="1" quotePrefix="1">
      <alignment/>
      <protection/>
    </xf>
    <xf numFmtId="41" fontId="7" fillId="0" borderId="30" xfId="59" applyNumberFormat="1" applyFont="1" applyBorder="1" applyAlignment="1">
      <alignment/>
      <protection/>
    </xf>
    <xf numFmtId="41" fontId="7" fillId="0" borderId="0" xfId="59" applyNumberFormat="1" applyFont="1" applyBorder="1" applyAlignment="1">
      <alignment/>
      <protection/>
    </xf>
    <xf numFmtId="0" fontId="21" fillId="0" borderId="0" xfId="0" applyFont="1" applyFill="1" applyBorder="1" applyAlignment="1">
      <alignment horizontal="left"/>
    </xf>
    <xf numFmtId="41" fontId="7" fillId="0" borderId="52" xfId="59" applyNumberFormat="1" applyFont="1" applyFill="1" applyBorder="1" applyAlignment="1" quotePrefix="1">
      <alignment/>
      <protection/>
    </xf>
    <xf numFmtId="43" fontId="10" fillId="33" borderId="53" xfId="42" applyFont="1" applyFill="1" applyBorder="1" applyAlignment="1">
      <alignment horizontal="left"/>
    </xf>
    <xf numFmtId="43" fontId="10" fillId="33" borderId="13" xfId="42" applyFont="1" applyFill="1" applyBorder="1" applyAlignment="1">
      <alignment horizontal="left"/>
    </xf>
    <xf numFmtId="0" fontId="10" fillId="33" borderId="13" xfId="59" applyFont="1" applyFill="1" applyBorder="1">
      <alignment/>
      <protection/>
    </xf>
    <xf numFmtId="167" fontId="10" fillId="33" borderId="53" xfId="59" applyNumberFormat="1" applyFont="1" applyFill="1" applyBorder="1">
      <alignment/>
      <protection/>
    </xf>
    <xf numFmtId="167" fontId="10" fillId="33" borderId="13" xfId="59" applyNumberFormat="1" applyFont="1" applyFill="1" applyBorder="1">
      <alignment/>
      <protection/>
    </xf>
    <xf numFmtId="167" fontId="10" fillId="33" borderId="54" xfId="59" applyNumberFormat="1" applyFont="1" applyFill="1" applyBorder="1">
      <alignment/>
      <protection/>
    </xf>
    <xf numFmtId="37" fontId="51" fillId="0" borderId="0" xfId="42" applyNumberFormat="1" applyFont="1" applyAlignment="1" quotePrefix="1">
      <alignment horizontal="left"/>
    </xf>
    <xf numFmtId="167" fontId="51" fillId="0" borderId="0" xfId="42" applyNumberFormat="1" applyFont="1" applyAlignment="1">
      <alignment/>
    </xf>
    <xf numFmtId="37" fontId="51" fillId="0" borderId="0" xfId="42" applyNumberFormat="1" applyFont="1" applyAlignment="1">
      <alignment/>
    </xf>
    <xf numFmtId="0" fontId="52" fillId="0" borderId="0" xfId="0" applyFont="1" applyBorder="1" applyAlignment="1">
      <alignment/>
    </xf>
    <xf numFmtId="37" fontId="54" fillId="0" borderId="0" xfId="42" applyNumberFormat="1" applyFont="1" applyBorder="1" applyAlignment="1" applyProtection="1">
      <alignment horizontal="right"/>
      <protection/>
    </xf>
    <xf numFmtId="41" fontId="7" fillId="0" borderId="0" xfId="42" applyNumberFormat="1" applyFont="1" applyBorder="1" applyAlignment="1">
      <alignment/>
    </xf>
    <xf numFmtId="0" fontId="9" fillId="0" borderId="0" xfId="57" applyFont="1" applyFill="1">
      <alignment/>
      <protection/>
    </xf>
    <xf numFmtId="0" fontId="9" fillId="0" borderId="0" xfId="57" applyFont="1" applyFill="1" applyBorder="1">
      <alignment/>
      <protection/>
    </xf>
    <xf numFmtId="41" fontId="21" fillId="0" borderId="0" xfId="42" applyNumberFormat="1" applyFont="1" applyBorder="1" applyAlignment="1">
      <alignment horizontal="center"/>
    </xf>
    <xf numFmtId="0" fontId="37" fillId="0" borderId="32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164" fontId="7" fillId="0" borderId="0" xfId="42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37" fontId="37" fillId="0" borderId="0" xfId="42" applyNumberFormat="1" applyFont="1" applyFill="1" applyBorder="1" applyAlignment="1">
      <alignment horizontal="right"/>
    </xf>
    <xf numFmtId="41" fontId="21" fillId="0" borderId="31" xfId="0" applyNumberFormat="1" applyFont="1" applyBorder="1" applyAlignment="1" quotePrefix="1">
      <alignment horizontal="center"/>
    </xf>
    <xf numFmtId="41" fontId="21" fillId="0" borderId="30" xfId="0" applyNumberFormat="1" applyFont="1" applyBorder="1" applyAlignment="1">
      <alignment horizontal="center"/>
    </xf>
    <xf numFmtId="41" fontId="21" fillId="0" borderId="31" xfId="0" applyNumberFormat="1" applyFont="1" applyBorder="1" applyAlignment="1">
      <alignment horizontal="center"/>
    </xf>
    <xf numFmtId="0" fontId="21" fillId="0" borderId="0" xfId="0" applyFont="1" applyBorder="1" applyAlignment="1" quotePrefix="1">
      <alignment horizontal="center"/>
    </xf>
    <xf numFmtId="41" fontId="37" fillId="33" borderId="55" xfId="0" applyNumberFormat="1" applyFont="1" applyFill="1" applyBorder="1" applyAlignment="1" quotePrefix="1">
      <alignment horizontal="center"/>
    </xf>
    <xf numFmtId="41" fontId="37" fillId="33" borderId="50" xfId="0" applyNumberFormat="1" applyFont="1" applyFill="1" applyBorder="1" applyAlignment="1" quotePrefix="1">
      <alignment horizontal="center"/>
    </xf>
    <xf numFmtId="41" fontId="37" fillId="33" borderId="56" xfId="0" applyNumberFormat="1" applyFont="1" applyFill="1" applyBorder="1" applyAlignment="1" quotePrefix="1">
      <alignment horizontal="center"/>
    </xf>
    <xf numFmtId="41" fontId="37" fillId="33" borderId="55" xfId="0" applyNumberFormat="1" applyFont="1" applyFill="1" applyBorder="1" applyAlignment="1">
      <alignment horizontal="center"/>
    </xf>
    <xf numFmtId="41" fontId="37" fillId="33" borderId="50" xfId="42" applyNumberFormat="1" applyFont="1" applyFill="1" applyBorder="1" applyAlignment="1">
      <alignment horizontal="center"/>
    </xf>
    <xf numFmtId="41" fontId="37" fillId="33" borderId="56" xfId="0" applyNumberFormat="1" applyFont="1" applyFill="1" applyBorder="1" applyAlignment="1">
      <alignment horizontal="center"/>
    </xf>
    <xf numFmtId="41" fontId="21" fillId="0" borderId="29" xfId="0" applyNumberFormat="1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0" xfId="0" applyFont="1" applyBorder="1" applyAlignment="1">
      <alignment/>
    </xf>
    <xf numFmtId="41" fontId="37" fillId="0" borderId="30" xfId="0" applyNumberFormat="1" applyFont="1" applyBorder="1" applyAlignment="1">
      <alignment horizontal="center"/>
    </xf>
    <xf numFmtId="41" fontId="37" fillId="0" borderId="0" xfId="0" applyNumberFormat="1" applyFont="1" applyBorder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167" fontId="37" fillId="0" borderId="31" xfId="0" applyNumberFormat="1" applyFont="1" applyBorder="1" applyAlignment="1">
      <alignment horizontal="center"/>
    </xf>
    <xf numFmtId="41" fontId="37" fillId="0" borderId="0" xfId="0" applyNumberFormat="1" applyFont="1" applyFill="1" applyBorder="1" applyAlignment="1">
      <alignment horizontal="center"/>
    </xf>
    <xf numFmtId="0" fontId="37" fillId="0" borderId="30" xfId="0" applyFont="1" applyFill="1" applyBorder="1" applyAlignment="1">
      <alignment horizontal="center"/>
    </xf>
    <xf numFmtId="167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1" fontId="37" fillId="0" borderId="32" xfId="0" applyNumberFormat="1" applyFont="1" applyBorder="1" applyAlignment="1">
      <alignment horizontal="center"/>
    </xf>
    <xf numFmtId="41" fontId="37" fillId="0" borderId="10" xfId="0" applyNumberFormat="1" applyFont="1" applyBorder="1" applyAlignment="1">
      <alignment horizontal="center"/>
    </xf>
    <xf numFmtId="0" fontId="37" fillId="0" borderId="32" xfId="0" applyFont="1" applyFill="1" applyBorder="1" applyAlignment="1">
      <alignment horizontal="center"/>
    </xf>
    <xf numFmtId="167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167" fontId="37" fillId="0" borderId="33" xfId="0" applyNumberFormat="1" applyFont="1" applyFill="1" applyBorder="1" applyAlignment="1">
      <alignment horizontal="center"/>
    </xf>
    <xf numFmtId="0" fontId="37" fillId="0" borderId="33" xfId="0" applyFont="1" applyFill="1" applyBorder="1" applyAlignment="1">
      <alignment horizontal="center"/>
    </xf>
    <xf numFmtId="37" fontId="7" fillId="0" borderId="0" xfId="42" applyNumberFormat="1" applyFont="1" applyBorder="1" applyAlignment="1" applyProtection="1">
      <alignment horizontal="center"/>
      <protection/>
    </xf>
    <xf numFmtId="169" fontId="7" fillId="0" borderId="0" xfId="65" applyNumberFormat="1" applyFont="1" applyBorder="1" applyAlignment="1">
      <alignment/>
    </xf>
    <xf numFmtId="164" fontId="7" fillId="0" borderId="0" xfId="62" applyNumberFormat="1" applyFont="1" applyBorder="1">
      <alignment/>
      <protection/>
    </xf>
    <xf numFmtId="166" fontId="7" fillId="0" borderId="0" xfId="42" applyNumberFormat="1" applyFont="1" applyBorder="1" applyAlignment="1">
      <alignment/>
    </xf>
    <xf numFmtId="164" fontId="10" fillId="0" borderId="11" xfId="42" applyNumberFormat="1" applyFont="1" applyBorder="1" applyAlignment="1" applyProtection="1">
      <alignment horizontal="left"/>
      <protection/>
    </xf>
    <xf numFmtId="164" fontId="10" fillId="0" borderId="11" xfId="42" applyNumberFormat="1" applyFont="1" applyBorder="1" applyAlignment="1">
      <alignment horizontal="left"/>
    </xf>
    <xf numFmtId="172" fontId="10" fillId="0" borderId="11" xfId="42" applyNumberFormat="1" applyFont="1" applyBorder="1" applyAlignment="1">
      <alignment horizontal="right"/>
    </xf>
    <xf numFmtId="172" fontId="10" fillId="0" borderId="11" xfId="42" applyNumberFormat="1" applyFont="1" applyBorder="1" applyAlignment="1">
      <alignment/>
    </xf>
    <xf numFmtId="169" fontId="10" fillId="0" borderId="11" xfId="65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66" fontId="7" fillId="0" borderId="0" xfId="62" applyNumberFormat="1" applyFont="1" applyBorder="1">
      <alignment/>
      <protection/>
    </xf>
    <xf numFmtId="164" fontId="10" fillId="0" borderId="13" xfId="42" applyNumberFormat="1" applyFont="1" applyBorder="1" applyAlignment="1" applyProtection="1">
      <alignment horizontal="left"/>
      <protection/>
    </xf>
    <xf numFmtId="164" fontId="10" fillId="0" borderId="13" xfId="42" applyNumberFormat="1" applyFont="1" applyBorder="1" applyAlignment="1">
      <alignment horizontal="left"/>
    </xf>
    <xf numFmtId="172" fontId="10" fillId="0" borderId="13" xfId="42" applyNumberFormat="1" applyFont="1" applyBorder="1" applyAlignment="1">
      <alignment/>
    </xf>
    <xf numFmtId="169" fontId="10" fillId="0" borderId="13" xfId="65" applyNumberFormat="1" applyFont="1" applyBorder="1" applyAlignment="1">
      <alignment/>
    </xf>
    <xf numFmtId="37" fontId="10" fillId="0" borderId="15" xfId="42" applyNumberFormat="1" applyFont="1" applyBorder="1" applyAlignment="1" applyProtection="1">
      <alignment horizontal="left"/>
      <protection/>
    </xf>
    <xf numFmtId="164" fontId="10" fillId="0" borderId="15" xfId="42" applyNumberFormat="1" applyFont="1" applyBorder="1" applyAlignment="1" applyProtection="1">
      <alignment horizontal="left"/>
      <protection/>
    </xf>
    <xf numFmtId="172" fontId="10" fillId="0" borderId="15" xfId="42" applyNumberFormat="1" applyFont="1" applyBorder="1" applyAlignment="1">
      <alignment/>
    </xf>
    <xf numFmtId="169" fontId="10" fillId="0" borderId="15" xfId="42" applyNumberFormat="1" applyFont="1" applyBorder="1" applyAlignment="1">
      <alignment/>
    </xf>
    <xf numFmtId="172" fontId="10" fillId="0" borderId="15" xfId="62" applyNumberFormat="1" applyFont="1" applyBorder="1">
      <alignment/>
      <protection/>
    </xf>
    <xf numFmtId="37" fontId="58" fillId="0" borderId="10" xfId="42" applyNumberFormat="1" applyFont="1" applyBorder="1" applyAlignment="1" applyProtection="1">
      <alignment/>
      <protection/>
    </xf>
    <xf numFmtId="164" fontId="7" fillId="0" borderId="10" xfId="42" applyNumberFormat="1" applyFont="1" applyBorder="1" applyAlignment="1" applyProtection="1">
      <alignment horizontal="left"/>
      <protection/>
    </xf>
    <xf numFmtId="166" fontId="7" fillId="0" borderId="10" xfId="42" applyNumberFormat="1" applyFont="1" applyBorder="1" applyAlignment="1">
      <alignment/>
    </xf>
    <xf numFmtId="169" fontId="7" fillId="0" borderId="10" xfId="42" applyNumberFormat="1" applyFont="1" applyBorder="1" applyAlignment="1">
      <alignment/>
    </xf>
    <xf numFmtId="164" fontId="7" fillId="0" borderId="10" xfId="62" applyNumberFormat="1" applyFont="1" applyBorder="1">
      <alignment/>
      <protection/>
    </xf>
    <xf numFmtId="37" fontId="10" fillId="0" borderId="0" xfId="42" applyNumberFormat="1" applyFont="1" applyBorder="1" applyAlignment="1" applyProtection="1">
      <alignment horizontal="left"/>
      <protection/>
    </xf>
    <xf numFmtId="164" fontId="10" fillId="0" borderId="0" xfId="42" applyNumberFormat="1" applyFont="1" applyAlignment="1" applyProtection="1">
      <alignment horizontal="left"/>
      <protection/>
    </xf>
    <xf numFmtId="164" fontId="10" fillId="0" borderId="0" xfId="42" applyNumberFormat="1" applyFont="1" applyBorder="1" applyAlignment="1">
      <alignment/>
    </xf>
    <xf numFmtId="169" fontId="10" fillId="0" borderId="0" xfId="42" applyNumberFormat="1" applyFont="1" applyBorder="1" applyAlignment="1">
      <alignment/>
    </xf>
    <xf numFmtId="37" fontId="10" fillId="0" borderId="10" xfId="42" applyNumberFormat="1" applyFont="1" applyBorder="1" applyAlignment="1" applyProtection="1">
      <alignment horizontal="left"/>
      <protection/>
    </xf>
    <xf numFmtId="164" fontId="10" fillId="0" borderId="10" xfId="42" applyNumberFormat="1" applyFont="1" applyBorder="1" applyAlignment="1" applyProtection="1">
      <alignment horizontal="left"/>
      <protection/>
    </xf>
    <xf numFmtId="37" fontId="10" fillId="0" borderId="50" xfId="42" applyNumberFormat="1" applyFont="1" applyBorder="1" applyAlignment="1" applyProtection="1">
      <alignment horizontal="left"/>
      <protection/>
    </xf>
    <xf numFmtId="164" fontId="10" fillId="0" borderId="50" xfId="42" applyNumberFormat="1" applyFont="1" applyBorder="1" applyAlignment="1" applyProtection="1">
      <alignment horizontal="left"/>
      <protection/>
    </xf>
    <xf numFmtId="169" fontId="10" fillId="0" borderId="50" xfId="42" applyNumberFormat="1" applyFont="1" applyBorder="1" applyAlignment="1">
      <alignment/>
    </xf>
    <xf numFmtId="173" fontId="10" fillId="0" borderId="50" xfId="42" applyNumberFormat="1" applyFont="1" applyBorder="1" applyAlignment="1">
      <alignment/>
    </xf>
    <xf numFmtId="172" fontId="10" fillId="0" borderId="50" xfId="62" applyNumberFormat="1" applyFont="1" applyBorder="1">
      <alignment/>
      <protection/>
    </xf>
    <xf numFmtId="164" fontId="10" fillId="0" borderId="0" xfId="62" applyNumberFormat="1" applyFont="1" applyBorder="1">
      <alignment/>
      <protection/>
    </xf>
    <xf numFmtId="41" fontId="7" fillId="0" borderId="0" xfId="0" applyNumberFormat="1" applyFont="1" applyBorder="1" applyAlignment="1">
      <alignment/>
    </xf>
    <xf numFmtId="41" fontId="7" fillId="0" borderId="0" xfId="65" applyNumberFormat="1" applyFont="1" applyBorder="1" applyAlignment="1">
      <alignment/>
    </xf>
    <xf numFmtId="172" fontId="7" fillId="0" borderId="15" xfId="45" applyNumberFormat="1" applyFont="1" applyBorder="1" applyAlignment="1">
      <alignment/>
    </xf>
    <xf numFmtId="166" fontId="7" fillId="0" borderId="0" xfId="42" applyNumberFormat="1" applyFont="1" applyFill="1" applyBorder="1" applyAlignment="1">
      <alignment/>
    </xf>
    <xf numFmtId="1" fontId="3" fillId="0" borderId="0" xfId="42" applyNumberFormat="1" applyFont="1" applyBorder="1" applyAlignment="1">
      <alignment horizontal="center"/>
    </xf>
    <xf numFmtId="1" fontId="57" fillId="0" borderId="0" xfId="42" applyNumberFormat="1" applyFont="1" applyBorder="1" applyAlignment="1">
      <alignment horizontal="center"/>
    </xf>
    <xf numFmtId="172" fontId="7" fillId="0" borderId="0" xfId="45" applyNumberFormat="1" applyFont="1" applyFill="1" applyAlignment="1">
      <alignment/>
    </xf>
    <xf numFmtId="172" fontId="7" fillId="0" borderId="0" xfId="42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175" fontId="7" fillId="0" borderId="0" xfId="42" applyNumberFormat="1" applyFont="1" applyBorder="1" applyAlignment="1" applyProtection="1">
      <alignment horizontal="center"/>
      <protection/>
    </xf>
    <xf numFmtId="0" fontId="33" fillId="0" borderId="21" xfId="0" applyFont="1" applyFill="1" applyBorder="1" applyAlignment="1">
      <alignment horizontal="left" indent="1"/>
    </xf>
    <xf numFmtId="0" fontId="35" fillId="0" borderId="57" xfId="0" applyFont="1" applyFill="1" applyBorder="1" applyAlignment="1">
      <alignment horizontal="left" indent="1"/>
    </xf>
    <xf numFmtId="0" fontId="33" fillId="0" borderId="57" xfId="0" applyFont="1" applyFill="1" applyBorder="1" applyAlignment="1">
      <alignment horizontal="left" indent="1"/>
    </xf>
    <xf numFmtId="0" fontId="0" fillId="0" borderId="58" xfId="0" applyBorder="1" applyAlignment="1">
      <alignment/>
    </xf>
    <xf numFmtId="0" fontId="0" fillId="0" borderId="57" xfId="0" applyFill="1" applyBorder="1" applyAlignment="1">
      <alignment/>
    </xf>
    <xf numFmtId="0" fontId="0" fillId="0" borderId="59" xfId="0" applyFill="1" applyBorder="1" applyAlignment="1">
      <alignment/>
    </xf>
    <xf numFmtId="0" fontId="34" fillId="0" borderId="25" xfId="0" applyFont="1" applyFill="1" applyBorder="1" applyAlignment="1">
      <alignment horizontal="left" indent="1"/>
    </xf>
    <xf numFmtId="175" fontId="7" fillId="0" borderId="0" xfId="42" applyNumberFormat="1" applyFont="1" applyBorder="1" applyAlignment="1" applyProtection="1" quotePrefix="1">
      <alignment horizontal="center"/>
      <protection/>
    </xf>
    <xf numFmtId="166" fontId="11" fillId="0" borderId="0" xfId="42" applyNumberFormat="1" applyFont="1" applyBorder="1" applyAlignment="1">
      <alignment/>
    </xf>
    <xf numFmtId="167" fontId="11" fillId="0" borderId="0" xfId="42" applyNumberFormat="1" applyFont="1" applyBorder="1" applyAlignment="1">
      <alignment/>
    </xf>
    <xf numFmtId="37" fontId="7" fillId="0" borderId="0" xfId="42" applyNumberFormat="1" applyFont="1" applyBorder="1" applyAlignment="1" applyProtection="1">
      <alignment/>
      <protection/>
    </xf>
    <xf numFmtId="37" fontId="60" fillId="0" borderId="0" xfId="42" applyNumberFormat="1" applyFont="1" applyAlignment="1">
      <alignment horizontal="left"/>
    </xf>
    <xf numFmtId="37" fontId="60" fillId="0" borderId="0" xfId="42" applyNumberFormat="1" applyFont="1" applyAlignment="1">
      <alignment horizontal="centerContinuous"/>
    </xf>
    <xf numFmtId="37" fontId="18" fillId="0" borderId="0" xfId="42" applyNumberFormat="1" applyFont="1" applyBorder="1" applyAlignment="1">
      <alignment/>
    </xf>
    <xf numFmtId="37" fontId="24" fillId="0" borderId="0" xfId="42" applyNumberFormat="1" applyFont="1" applyBorder="1" applyAlignment="1">
      <alignment/>
    </xf>
    <xf numFmtId="37" fontId="61" fillId="0" borderId="0" xfId="42" applyNumberFormat="1" applyFont="1" applyBorder="1" applyAlignment="1">
      <alignment/>
    </xf>
    <xf numFmtId="37" fontId="55" fillId="0" borderId="0" xfId="42" applyNumberFormat="1" applyFont="1" applyBorder="1" applyAlignment="1">
      <alignment/>
    </xf>
    <xf numFmtId="37" fontId="55" fillId="0" borderId="0" xfId="42" applyNumberFormat="1" applyFont="1" applyBorder="1" applyAlignment="1" quotePrefix="1">
      <alignment horizontal="left"/>
    </xf>
    <xf numFmtId="37" fontId="62" fillId="0" borderId="0" xfId="42" applyNumberFormat="1" applyFont="1" applyAlignment="1">
      <alignment horizontal="center"/>
    </xf>
    <xf numFmtId="37" fontId="63" fillId="0" borderId="0" xfId="42" applyNumberFormat="1" applyFont="1" applyAlignment="1">
      <alignment horizontal="left"/>
    </xf>
    <xf numFmtId="37" fontId="64" fillId="0" borderId="0" xfId="42" applyNumberFormat="1" applyFont="1" applyAlignment="1">
      <alignment/>
    </xf>
    <xf numFmtId="37" fontId="65" fillId="0" borderId="0" xfId="42" applyNumberFormat="1" applyFont="1" applyAlignment="1">
      <alignment/>
    </xf>
    <xf numFmtId="37" fontId="66" fillId="0" borderId="0" xfId="42" applyNumberFormat="1" applyFont="1" applyBorder="1" applyAlignment="1">
      <alignment/>
    </xf>
    <xf numFmtId="37" fontId="67" fillId="0" borderId="0" xfId="42" applyNumberFormat="1" applyFont="1" applyAlignment="1">
      <alignment/>
    </xf>
    <xf numFmtId="37" fontId="68" fillId="0" borderId="0" xfId="42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59" fillId="0" borderId="0" xfId="0" applyFont="1" applyAlignment="1">
      <alignment horizontal="centerContinuous"/>
    </xf>
    <xf numFmtId="0" fontId="7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4" fillId="0" borderId="0" xfId="0" applyFont="1" applyAlignment="1">
      <alignment/>
    </xf>
    <xf numFmtId="41" fontId="10" fillId="33" borderId="13" xfId="59" applyNumberFormat="1" applyFont="1" applyFill="1" applyBorder="1" applyAlignment="1">
      <alignment horizontal="left"/>
      <protection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69" fontId="18" fillId="0" borderId="0" xfId="65" applyNumberFormat="1" applyFont="1" applyFill="1" applyBorder="1" applyAlignment="1">
      <alignment/>
    </xf>
    <xf numFmtId="0" fontId="70" fillId="0" borderId="0" xfId="0" applyFont="1" applyAlignment="1">
      <alignment/>
    </xf>
    <xf numFmtId="37" fontId="53" fillId="0" borderId="0" xfId="42" applyNumberFormat="1" applyFont="1" applyBorder="1" applyAlignment="1" applyProtection="1">
      <alignment horizontal="right"/>
      <protection/>
    </xf>
    <xf numFmtId="0" fontId="9" fillId="0" borderId="0" xfId="57" applyFont="1" applyBorder="1">
      <alignment/>
      <protection/>
    </xf>
    <xf numFmtId="0" fontId="9" fillId="0" borderId="0" xfId="57" applyFont="1" applyBorder="1" applyAlignment="1">
      <alignment horizontal="right"/>
      <protection/>
    </xf>
    <xf numFmtId="0" fontId="2" fillId="0" borderId="0" xfId="57" applyFont="1" applyFill="1" applyBorder="1">
      <alignment/>
      <protection/>
    </xf>
    <xf numFmtId="0" fontId="53" fillId="0" borderId="0" xfId="57" applyFont="1" applyBorder="1" applyAlignment="1">
      <alignment horizontal="right"/>
      <protection/>
    </xf>
    <xf numFmtId="37" fontId="10" fillId="0" borderId="0" xfId="42" applyNumberFormat="1" applyFont="1" applyAlignment="1" applyProtection="1" quotePrefix="1">
      <alignment horizontal="center"/>
      <protection/>
    </xf>
    <xf numFmtId="37" fontId="20" fillId="0" borderId="0" xfId="42" applyNumberFormat="1" applyFont="1" applyAlignment="1">
      <alignment/>
    </xf>
    <xf numFmtId="37" fontId="20" fillId="0" borderId="0" xfId="42" applyNumberFormat="1" applyFont="1" applyAlignment="1">
      <alignment horizontal="left"/>
    </xf>
    <xf numFmtId="1" fontId="11" fillId="0" borderId="0" xfId="56" applyNumberFormat="1" applyFont="1" applyAlignment="1">
      <alignment horizontal="center"/>
      <protection/>
    </xf>
    <xf numFmtId="37" fontId="21" fillId="0" borderId="12" xfId="42" applyNumberFormat="1" applyFont="1" applyBorder="1" applyAlignment="1">
      <alignment horizontal="left"/>
    </xf>
    <xf numFmtId="37" fontId="21" fillId="0" borderId="12" xfId="42" applyNumberFormat="1" applyFont="1" applyBorder="1" applyAlignment="1">
      <alignment/>
    </xf>
    <xf numFmtId="37" fontId="21" fillId="0" borderId="0" xfId="42" applyNumberFormat="1" applyFont="1" applyBorder="1" applyAlignment="1">
      <alignment horizontal="left"/>
    </xf>
    <xf numFmtId="37" fontId="21" fillId="0" borderId="0" xfId="42" applyNumberFormat="1" applyFont="1" applyBorder="1" applyAlignment="1">
      <alignment horizontal="center"/>
    </xf>
    <xf numFmtId="37" fontId="21" fillId="0" borderId="0" xfId="42" applyNumberFormat="1" applyFont="1" applyBorder="1" applyAlignment="1">
      <alignment/>
    </xf>
    <xf numFmtId="37" fontId="21" fillId="0" borderId="10" xfId="42" applyNumberFormat="1" applyFont="1" applyBorder="1" applyAlignment="1">
      <alignment horizontal="left"/>
    </xf>
    <xf numFmtId="37" fontId="21" fillId="0" borderId="10" xfId="42" applyNumberFormat="1" applyFont="1" applyBorder="1" applyAlignment="1">
      <alignment horizontal="center"/>
    </xf>
    <xf numFmtId="37" fontId="21" fillId="0" borderId="10" xfId="42" applyNumberFormat="1" applyFont="1" applyBorder="1" applyAlignment="1" quotePrefix="1">
      <alignment horizontal="center"/>
    </xf>
    <xf numFmtId="37" fontId="21" fillId="0" borderId="0" xfId="42" applyNumberFormat="1" applyFont="1" applyBorder="1" applyAlignment="1" quotePrefix="1">
      <alignment horizontal="left"/>
    </xf>
    <xf numFmtId="37" fontId="21" fillId="0" borderId="0" xfId="42" applyNumberFormat="1" applyFont="1" applyBorder="1" applyAlignment="1">
      <alignment horizontal="right"/>
    </xf>
    <xf numFmtId="37" fontId="21" fillId="0" borderId="44" xfId="42" applyNumberFormat="1" applyFont="1" applyBorder="1" applyAlignment="1">
      <alignment horizontal="left"/>
    </xf>
    <xf numFmtId="37" fontId="21" fillId="0" borderId="44" xfId="42" applyNumberFormat="1" applyFont="1" applyBorder="1" applyAlignment="1">
      <alignment/>
    </xf>
    <xf numFmtId="37" fontId="21" fillId="0" borderId="44" xfId="42" applyNumberFormat="1" applyFont="1" applyBorder="1" applyAlignment="1">
      <alignment horizontal="right"/>
    </xf>
    <xf numFmtId="37" fontId="21" fillId="0" borderId="10" xfId="42" applyNumberFormat="1" applyFont="1" applyBorder="1" applyAlignment="1">
      <alignment/>
    </xf>
    <xf numFmtId="37" fontId="21" fillId="0" borderId="10" xfId="42" applyNumberFormat="1" applyFont="1" applyBorder="1" applyAlignment="1">
      <alignment horizontal="right"/>
    </xf>
    <xf numFmtId="37" fontId="37" fillId="0" borderId="13" xfId="42" applyNumberFormat="1" applyFont="1" applyBorder="1" applyAlignment="1">
      <alignment horizontal="left"/>
    </xf>
    <xf numFmtId="37" fontId="37" fillId="0" borderId="13" xfId="42" applyNumberFormat="1" applyFont="1" applyBorder="1" applyAlignment="1">
      <alignment/>
    </xf>
    <xf numFmtId="37" fontId="37" fillId="0" borderId="13" xfId="42" applyNumberFormat="1" applyFont="1" applyBorder="1" applyAlignment="1">
      <alignment horizontal="right"/>
    </xf>
    <xf numFmtId="37" fontId="37" fillId="0" borderId="0" xfId="42" applyNumberFormat="1" applyFont="1" applyBorder="1" applyAlignment="1">
      <alignment horizontal="left"/>
    </xf>
    <xf numFmtId="37" fontId="37" fillId="0" borderId="0" xfId="42" applyNumberFormat="1" applyFont="1" applyBorder="1" applyAlignment="1">
      <alignment/>
    </xf>
    <xf numFmtId="37" fontId="37" fillId="0" borderId="0" xfId="42" applyNumberFormat="1" applyFont="1" applyBorder="1" applyAlignment="1">
      <alignment horizontal="right"/>
    </xf>
    <xf numFmtId="37" fontId="37" fillId="0" borderId="15" xfId="42" applyNumberFormat="1" applyFont="1" applyBorder="1" applyAlignment="1">
      <alignment horizontal="left"/>
    </xf>
    <xf numFmtId="37" fontId="37" fillId="0" borderId="15" xfId="42" applyNumberFormat="1" applyFont="1" applyBorder="1" applyAlignment="1">
      <alignment/>
    </xf>
    <xf numFmtId="37" fontId="37" fillId="0" borderId="15" xfId="42" applyNumberFormat="1" applyFont="1" applyBorder="1" applyAlignment="1">
      <alignment horizontal="right"/>
    </xf>
    <xf numFmtId="37" fontId="20" fillId="0" borderId="0" xfId="42" applyNumberFormat="1" applyFont="1" applyBorder="1" applyAlignment="1">
      <alignment horizontal="right"/>
    </xf>
    <xf numFmtId="37" fontId="20" fillId="0" borderId="0" xfId="42" applyNumberFormat="1" applyFont="1" applyBorder="1" applyAlignment="1">
      <alignment/>
    </xf>
    <xf numFmtId="37" fontId="21" fillId="0" borderId="0" xfId="42" applyNumberFormat="1" applyFont="1" applyAlignment="1">
      <alignment horizontal="left"/>
    </xf>
    <xf numFmtId="37" fontId="0" fillId="0" borderId="0" xfId="42" applyNumberFormat="1" applyFont="1" applyAlignment="1">
      <alignment/>
    </xf>
    <xf numFmtId="37" fontId="0" fillId="0" borderId="10" xfId="42" applyNumberFormat="1" applyFont="1" applyBorder="1" applyAlignment="1">
      <alignment/>
    </xf>
    <xf numFmtId="177" fontId="21" fillId="0" borderId="0" xfId="42" applyNumberFormat="1" applyFont="1" applyBorder="1" applyAlignment="1">
      <alignment horizontal="center"/>
    </xf>
    <xf numFmtId="37" fontId="21" fillId="0" borderId="0" xfId="42" applyNumberFormat="1" applyFont="1" applyAlignment="1">
      <alignment/>
    </xf>
    <xf numFmtId="37" fontId="21" fillId="0" borderId="0" xfId="42" applyNumberFormat="1" applyFont="1" applyBorder="1" applyAlignment="1">
      <alignment horizontal="center" wrapText="1"/>
    </xf>
    <xf numFmtId="0" fontId="21" fillId="0" borderId="0" xfId="42" applyNumberFormat="1" applyFont="1" applyAlignment="1">
      <alignment horizontal="left"/>
    </xf>
    <xf numFmtId="0" fontId="21" fillId="0" borderId="0" xfId="42" applyNumberFormat="1" applyFont="1" applyAlignment="1" quotePrefix="1">
      <alignment horizontal="left"/>
    </xf>
    <xf numFmtId="37" fontId="37" fillId="0" borderId="13" xfId="42" applyNumberFormat="1" applyFont="1" applyBorder="1" applyAlignment="1" quotePrefix="1">
      <alignment horizontal="left"/>
    </xf>
    <xf numFmtId="37" fontId="21" fillId="0" borderId="0" xfId="0" applyNumberFormat="1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37" fontId="37" fillId="0" borderId="0" xfId="42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167" fontId="21" fillId="0" borderId="0" xfId="0" applyNumberFormat="1" applyFont="1" applyFill="1" applyAlignment="1">
      <alignment/>
    </xf>
    <xf numFmtId="37" fontId="37" fillId="0" borderId="0" xfId="0" applyNumberFormat="1" applyFont="1" applyAlignment="1">
      <alignment/>
    </xf>
    <xf numFmtId="41" fontId="21" fillId="0" borderId="10" xfId="42" applyNumberFormat="1" applyFont="1" applyBorder="1" applyAlignment="1" quotePrefix="1">
      <alignment horizontal="center"/>
    </xf>
    <xf numFmtId="37" fontId="21" fillId="0" borderId="0" xfId="42" applyNumberFormat="1" applyFont="1" applyBorder="1" applyAlignment="1" quotePrefix="1">
      <alignment/>
    </xf>
    <xf numFmtId="167" fontId="21" fillId="0" borderId="0" xfId="42" applyNumberFormat="1" applyFont="1" applyFill="1" applyBorder="1" applyAlignment="1" quotePrefix="1">
      <alignment/>
    </xf>
    <xf numFmtId="37" fontId="37" fillId="0" borderId="0" xfId="42" applyNumberFormat="1" applyFont="1" applyBorder="1" applyAlignment="1" quotePrefix="1">
      <alignment/>
    </xf>
    <xf numFmtId="167" fontId="37" fillId="0" borderId="0" xfId="42" applyNumberFormat="1" applyFont="1" applyFill="1" applyBorder="1" applyAlignment="1" quotePrefix="1">
      <alignment/>
    </xf>
    <xf numFmtId="41" fontId="21" fillId="0" borderId="30" xfId="0" applyNumberFormat="1" applyFont="1" applyBorder="1" applyAlignment="1" quotePrefix="1">
      <alignment horizontal="center"/>
    </xf>
    <xf numFmtId="41" fontId="21" fillId="0" borderId="0" xfId="0" applyNumberFormat="1" applyFont="1" applyBorder="1" applyAlignment="1" quotePrefix="1">
      <alignment horizontal="center"/>
    </xf>
    <xf numFmtId="41" fontId="21" fillId="0" borderId="30" xfId="0" applyNumberFormat="1" applyFont="1" applyFill="1" applyBorder="1" applyAlignment="1" quotePrefix="1">
      <alignment horizontal="center"/>
    </xf>
    <xf numFmtId="41" fontId="21" fillId="0" borderId="0" xfId="0" applyNumberFormat="1" applyFont="1" applyFill="1" applyBorder="1" applyAlignment="1" quotePrefix="1">
      <alignment horizontal="center"/>
    </xf>
    <xf numFmtId="41" fontId="21" fillId="0" borderId="30" xfId="0" applyNumberFormat="1" applyFont="1" applyBorder="1" applyAlignment="1">
      <alignment horizontal="center"/>
    </xf>
    <xf numFmtId="41" fontId="21" fillId="0" borderId="0" xfId="0" applyNumberFormat="1" applyFont="1" applyBorder="1" applyAlignment="1">
      <alignment horizontal="center"/>
    </xf>
    <xf numFmtId="0" fontId="7" fillId="0" borderId="31" xfId="59" applyFont="1" applyBorder="1" applyAlignment="1">
      <alignment horizontal="left"/>
      <protection/>
    </xf>
    <xf numFmtId="0" fontId="21" fillId="0" borderId="31" xfId="0" applyFont="1" applyFill="1" applyBorder="1" applyAlignment="1">
      <alignment horizontal="left"/>
    </xf>
    <xf numFmtId="41" fontId="21" fillId="0" borderId="0" xfId="42" applyNumberFormat="1" applyFont="1" applyBorder="1" applyAlignment="1">
      <alignment horizontal="right"/>
    </xf>
    <xf numFmtId="175" fontId="7" fillId="0" borderId="10" xfId="42" applyNumberFormat="1" applyFont="1" applyBorder="1" applyAlignment="1" applyProtection="1">
      <alignment horizontal="center"/>
      <protection/>
    </xf>
    <xf numFmtId="37" fontId="77" fillId="0" borderId="60" xfId="42" applyNumberFormat="1" applyFont="1" applyBorder="1" applyAlignment="1">
      <alignment horizontal="center"/>
    </xf>
    <xf numFmtId="37" fontId="21" fillId="0" borderId="60" xfId="42" applyNumberFormat="1" applyFont="1" applyBorder="1" applyAlignment="1">
      <alignment horizontal="center"/>
    </xf>
    <xf numFmtId="37" fontId="21" fillId="0" borderId="60" xfId="42" applyNumberFormat="1" applyFont="1" applyBorder="1" applyAlignment="1" quotePrefix="1">
      <alignment horizontal="center"/>
    </xf>
    <xf numFmtId="0" fontId="41" fillId="0" borderId="30" xfId="0" applyFont="1" applyFill="1" applyBorder="1" applyAlignment="1">
      <alignment horizontal="center"/>
    </xf>
    <xf numFmtId="167" fontId="21" fillId="0" borderId="30" xfId="42" applyNumberFormat="1" applyFont="1" applyFill="1" applyBorder="1" applyAlignment="1" quotePrefix="1">
      <alignment horizontal="left"/>
    </xf>
    <xf numFmtId="167" fontId="21" fillId="0" borderId="35" xfId="42" applyNumberFormat="1" applyFont="1" applyFill="1" applyBorder="1" applyAlignment="1" quotePrefix="1">
      <alignment horizontal="left"/>
    </xf>
    <xf numFmtId="167" fontId="21" fillId="0" borderId="43" xfId="42" applyNumberFormat="1" applyFont="1" applyFill="1" applyBorder="1" applyAlignment="1" quotePrefix="1">
      <alignment horizontal="left"/>
    </xf>
    <xf numFmtId="167" fontId="21" fillId="0" borderId="30" xfId="42" applyNumberFormat="1" applyFont="1" applyFill="1" applyBorder="1" applyAlignment="1" quotePrefix="1">
      <alignment horizontal="center"/>
    </xf>
    <xf numFmtId="167" fontId="21" fillId="0" borderId="32" xfId="42" applyNumberFormat="1" applyFont="1" applyFill="1" applyBorder="1" applyAlignment="1" quotePrefix="1">
      <alignment horizontal="center"/>
    </xf>
    <xf numFmtId="167" fontId="37" fillId="0" borderId="30" xfId="42" applyNumberFormat="1" applyFont="1" applyFill="1" applyBorder="1" applyAlignment="1" quotePrefix="1">
      <alignment horizontal="center"/>
    </xf>
    <xf numFmtId="167" fontId="21" fillId="0" borderId="30" xfId="42" applyNumberFormat="1" applyFont="1" applyFill="1" applyBorder="1" applyAlignment="1">
      <alignment horizontal="center"/>
    </xf>
    <xf numFmtId="167" fontId="21" fillId="0" borderId="43" xfId="42" applyNumberFormat="1" applyFont="1" applyFill="1" applyBorder="1" applyAlignment="1">
      <alignment horizontal="center"/>
    </xf>
    <xf numFmtId="167" fontId="37" fillId="0" borderId="32" xfId="42" applyNumberFormat="1" applyFont="1" applyFill="1" applyBorder="1" applyAlignment="1" quotePrefix="1">
      <alignment/>
    </xf>
    <xf numFmtId="49" fontId="7" fillId="0" borderId="0" xfId="61" applyNumberFormat="1" applyFont="1" applyBorder="1">
      <alignment/>
      <protection/>
    </xf>
    <xf numFmtId="49" fontId="7" fillId="0" borderId="0" xfId="61" applyNumberFormat="1" applyFont="1" applyFill="1" applyBorder="1">
      <alignment/>
      <protection/>
    </xf>
    <xf numFmtId="0" fontId="7" fillId="0" borderId="0" xfId="61" applyFont="1" applyFill="1">
      <alignment/>
      <protection/>
    </xf>
    <xf numFmtId="37" fontId="21" fillId="0" borderId="0" xfId="42" applyNumberFormat="1" applyFont="1" applyBorder="1" applyAlignment="1" quotePrefix="1">
      <alignment horizontal="center"/>
    </xf>
    <xf numFmtId="167" fontId="21" fillId="0" borderId="0" xfId="42" applyNumberFormat="1" applyFont="1" applyFill="1" applyBorder="1" applyAlignment="1" quotePrefix="1">
      <alignment horizontal="center"/>
    </xf>
    <xf numFmtId="167" fontId="21" fillId="0" borderId="36" xfId="42" applyNumberFormat="1" applyFont="1" applyFill="1" applyBorder="1" applyAlignment="1" quotePrefix="1">
      <alignment horizontal="center"/>
    </xf>
    <xf numFmtId="167" fontId="21" fillId="0" borderId="61" xfId="42" applyNumberFormat="1" applyFont="1" applyFill="1" applyBorder="1" applyAlignment="1" quotePrefix="1">
      <alignment horizontal="center"/>
    </xf>
    <xf numFmtId="167" fontId="21" fillId="0" borderId="44" xfId="42" applyNumberFormat="1" applyFont="1" applyFill="1" applyBorder="1" applyAlignment="1" quotePrefix="1">
      <alignment horizontal="center"/>
    </xf>
    <xf numFmtId="167" fontId="21" fillId="0" borderId="44" xfId="42" applyNumberFormat="1" applyFont="1" applyFill="1" applyBorder="1" applyAlignment="1" quotePrefix="1">
      <alignment/>
    </xf>
    <xf numFmtId="0" fontId="43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21" fillId="34" borderId="55" xfId="0" applyFont="1" applyFill="1" applyBorder="1" applyAlignment="1">
      <alignment horizontal="center"/>
    </xf>
    <xf numFmtId="0" fontId="37" fillId="34" borderId="50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37" fontId="61" fillId="0" borderId="10" xfId="42" applyNumberFormat="1" applyFont="1" applyBorder="1" applyAlignment="1">
      <alignment horizontal="center"/>
    </xf>
    <xf numFmtId="37" fontId="18" fillId="0" borderId="62" xfId="42" applyNumberFormat="1" applyFont="1" applyBorder="1" applyAlignment="1">
      <alignment horizontal="center"/>
    </xf>
    <xf numFmtId="37" fontId="18" fillId="0" borderId="60" xfId="42" applyNumberFormat="1" applyFont="1" applyBorder="1" applyAlignment="1">
      <alignment horizontal="center"/>
    </xf>
    <xf numFmtId="37" fontId="18" fillId="0" borderId="63" xfId="42" applyNumberFormat="1" applyFont="1" applyBorder="1" applyAlignment="1">
      <alignment horizontal="center"/>
    </xf>
    <xf numFmtId="37" fontId="37" fillId="0" borderId="64" xfId="42" applyNumberFormat="1" applyFont="1" applyBorder="1" applyAlignment="1" quotePrefix="1">
      <alignment horizontal="center"/>
    </xf>
    <xf numFmtId="37" fontId="61" fillId="0" borderId="0" xfId="42" applyNumberFormat="1" applyFont="1" applyBorder="1" applyAlignment="1">
      <alignment horizontal="center"/>
    </xf>
    <xf numFmtId="37" fontId="24" fillId="0" borderId="0" xfId="42" applyNumberFormat="1" applyFont="1" applyBorder="1" applyAlignment="1">
      <alignment horizontal="center"/>
    </xf>
    <xf numFmtId="1" fontId="7" fillId="0" borderId="0" xfId="42" applyNumberFormat="1" applyFont="1" applyFill="1" applyAlignment="1">
      <alignment horizontal="center"/>
    </xf>
    <xf numFmtId="164" fontId="122" fillId="0" borderId="0" xfId="42" applyNumberFormat="1" applyFont="1" applyAlignment="1">
      <alignment/>
    </xf>
    <xf numFmtId="164" fontId="79" fillId="0" borderId="0" xfId="42" applyNumberFormat="1" applyFont="1" applyAlignment="1">
      <alignment/>
    </xf>
    <xf numFmtId="164" fontId="123" fillId="0" borderId="0" xfId="42" applyNumberFormat="1" applyFont="1" applyAlignment="1">
      <alignment/>
    </xf>
    <xf numFmtId="37" fontId="124" fillId="0" borderId="0" xfId="42" applyNumberFormat="1" applyFont="1" applyAlignment="1">
      <alignment horizontal="centerContinuous"/>
    </xf>
    <xf numFmtId="164" fontId="85" fillId="0" borderId="0" xfId="42" applyNumberFormat="1" applyFont="1" applyAlignment="1">
      <alignment/>
    </xf>
    <xf numFmtId="37" fontId="125" fillId="0" borderId="10" xfId="42" applyNumberFormat="1" applyFont="1" applyBorder="1" applyAlignment="1">
      <alignment horizontal="center"/>
    </xf>
    <xf numFmtId="164" fontId="125" fillId="0" borderId="10" xfId="42" applyNumberFormat="1" applyFont="1" applyBorder="1" applyAlignment="1">
      <alignment/>
    </xf>
    <xf numFmtId="164" fontId="125" fillId="0" borderId="0" xfId="42" applyNumberFormat="1" applyFont="1" applyAlignment="1">
      <alignment/>
    </xf>
    <xf numFmtId="37" fontId="125" fillId="0" borderId="0" xfId="42" applyNumberFormat="1" applyFont="1" applyAlignment="1">
      <alignment horizontal="center"/>
    </xf>
    <xf numFmtId="164" fontId="126" fillId="0" borderId="0" xfId="58" applyNumberFormat="1" applyFont="1">
      <alignment/>
      <protection/>
    </xf>
    <xf numFmtId="5" fontId="126" fillId="0" borderId="0" xfId="42" applyNumberFormat="1" applyFont="1" applyAlignment="1">
      <alignment/>
    </xf>
    <xf numFmtId="164" fontId="125" fillId="0" borderId="0" xfId="58" applyNumberFormat="1" applyFont="1">
      <alignment/>
      <protection/>
    </xf>
    <xf numFmtId="5" fontId="125" fillId="0" borderId="0" xfId="42" applyNumberFormat="1" applyFont="1" applyAlignment="1">
      <alignment/>
    </xf>
    <xf numFmtId="37" fontId="125" fillId="0" borderId="0" xfId="42" applyNumberFormat="1" applyFont="1" applyAlignment="1">
      <alignment/>
    </xf>
    <xf numFmtId="37" fontId="125" fillId="0" borderId="51" xfId="42" applyNumberFormat="1" applyFont="1" applyBorder="1" applyAlignment="1">
      <alignment/>
    </xf>
    <xf numFmtId="164" fontId="125" fillId="0" borderId="0" xfId="42" applyNumberFormat="1" applyFont="1" applyBorder="1" applyAlignment="1">
      <alignment/>
    </xf>
    <xf numFmtId="37" fontId="125" fillId="0" borderId="12" xfId="42" applyNumberFormat="1" applyFont="1" applyBorder="1" applyAlignment="1">
      <alignment horizontal="center"/>
    </xf>
    <xf numFmtId="164" fontId="125" fillId="0" borderId="12" xfId="42" applyNumberFormat="1" applyFont="1" applyBorder="1" applyAlignment="1">
      <alignment/>
    </xf>
    <xf numFmtId="37" fontId="125" fillId="0" borderId="0" xfId="42" applyNumberFormat="1" applyFont="1" applyBorder="1" applyAlignment="1">
      <alignment horizontal="center"/>
    </xf>
    <xf numFmtId="164" fontId="125" fillId="0" borderId="0" xfId="42" applyNumberFormat="1" applyFont="1" applyBorder="1" applyAlignment="1">
      <alignment horizontal="center"/>
    </xf>
    <xf numFmtId="37" fontId="125" fillId="0" borderId="0" xfId="42" applyNumberFormat="1" applyFont="1" applyBorder="1" applyAlignment="1">
      <alignment horizontal="center" vertical="top"/>
    </xf>
    <xf numFmtId="164" fontId="125" fillId="0" borderId="0" xfId="42" applyNumberFormat="1" applyFont="1" applyBorder="1" applyAlignment="1">
      <alignment horizontal="right" vertical="top"/>
    </xf>
    <xf numFmtId="164" fontId="127" fillId="0" borderId="0" xfId="58" applyNumberFormat="1" applyFont="1">
      <alignment/>
      <protection/>
    </xf>
    <xf numFmtId="164" fontId="125" fillId="0" borderId="0" xfId="58" applyNumberFormat="1" applyFont="1" applyAlignment="1" applyProtection="1" quotePrefix="1">
      <alignment horizontal="right"/>
      <protection/>
    </xf>
    <xf numFmtId="5" fontId="125" fillId="0" borderId="0" xfId="58" applyNumberFormat="1" applyFont="1">
      <alignment/>
      <protection/>
    </xf>
    <xf numFmtId="164" fontId="125" fillId="0" borderId="0" xfId="58" applyNumberFormat="1" applyFont="1" applyAlignment="1" applyProtection="1">
      <alignment horizontal="center"/>
      <protection/>
    </xf>
    <xf numFmtId="175" fontId="125" fillId="0" borderId="0" xfId="58" applyNumberFormat="1" applyFont="1" applyFill="1" applyAlignment="1">
      <alignment horizontal="center"/>
      <protection/>
    </xf>
    <xf numFmtId="164" fontId="126" fillId="0" borderId="0" xfId="58" applyNumberFormat="1" applyFont="1" applyAlignment="1">
      <alignment horizontal="right"/>
      <protection/>
    </xf>
    <xf numFmtId="5" fontId="126" fillId="0" borderId="13" xfId="58" applyNumberFormat="1" applyFont="1" applyBorder="1">
      <alignment/>
      <protection/>
    </xf>
    <xf numFmtId="37" fontId="125" fillId="0" borderId="0" xfId="58" applyNumberFormat="1" applyFont="1">
      <alignment/>
      <protection/>
    </xf>
    <xf numFmtId="0" fontId="125" fillId="0" borderId="0" xfId="0" applyFont="1" applyAlignment="1">
      <alignment/>
    </xf>
    <xf numFmtId="0" fontId="125" fillId="0" borderId="0" xfId="0" applyFont="1" applyAlignment="1">
      <alignment horizontal="center"/>
    </xf>
    <xf numFmtId="175" fontId="125" fillId="0" borderId="0" xfId="0" applyNumberFormat="1" applyFont="1" applyFill="1" applyAlignment="1">
      <alignment horizontal="center"/>
    </xf>
    <xf numFmtId="37" fontId="126" fillId="0" borderId="0" xfId="42" applyNumberFormat="1" applyFont="1" applyAlignment="1">
      <alignment horizontal="right"/>
    </xf>
    <xf numFmtId="164" fontId="125" fillId="0" borderId="0" xfId="58" applyNumberFormat="1" applyFont="1" applyAlignment="1" applyProtection="1" quotePrefix="1">
      <alignment horizontal="left"/>
      <protection/>
    </xf>
    <xf numFmtId="175" fontId="125" fillId="0" borderId="0" xfId="58" applyNumberFormat="1" applyFont="1" applyAlignment="1">
      <alignment horizontal="center"/>
      <protection/>
    </xf>
    <xf numFmtId="164" fontId="126" fillId="0" borderId="15" xfId="58" applyNumberFormat="1" applyFont="1" applyBorder="1" applyAlignment="1">
      <alignment horizontal="left"/>
      <protection/>
    </xf>
    <xf numFmtId="5" fontId="126" fillId="0" borderId="15" xfId="58" applyNumberFormat="1" applyFont="1" applyBorder="1">
      <alignment/>
      <protection/>
    </xf>
    <xf numFmtId="164" fontId="125" fillId="0" borderId="51" xfId="58" applyNumberFormat="1" applyFont="1" applyBorder="1">
      <alignment/>
      <protection/>
    </xf>
    <xf numFmtId="175" fontId="125" fillId="0" borderId="0" xfId="58" applyNumberFormat="1" applyFont="1" applyFill="1" applyAlignment="1" applyProtection="1">
      <alignment horizontal="center"/>
      <protection/>
    </xf>
    <xf numFmtId="37" fontId="125" fillId="0" borderId="0" xfId="42" applyNumberFormat="1" applyFont="1" applyAlignment="1">
      <alignment horizontal="left"/>
    </xf>
    <xf numFmtId="172" fontId="7" fillId="0" borderId="0" xfId="45" applyNumberFormat="1" applyFont="1" applyFill="1" applyBorder="1" applyAlignment="1">
      <alignment/>
    </xf>
    <xf numFmtId="166" fontId="7" fillId="0" borderId="0" xfId="42" applyNumberFormat="1" applyFont="1" applyFill="1" applyBorder="1" applyAlignment="1">
      <alignment/>
    </xf>
    <xf numFmtId="174" fontId="21" fillId="0" borderId="38" xfId="42" applyNumberFormat="1" applyFont="1" applyBorder="1" applyAlignment="1">
      <alignment/>
    </xf>
    <xf numFmtId="170" fontId="21" fillId="0" borderId="65" xfId="42" applyNumberFormat="1" applyFont="1" applyBorder="1" applyAlignment="1">
      <alignment/>
    </xf>
    <xf numFmtId="164" fontId="7" fillId="0" borderId="0" xfId="56" applyNumberFormat="1" applyFont="1" applyFill="1" applyAlignment="1">
      <alignment/>
      <protection/>
    </xf>
    <xf numFmtId="164" fontId="7" fillId="0" borderId="0" xfId="42" applyNumberFormat="1" applyFont="1" applyFill="1" applyAlignment="1">
      <alignment horizontal="right"/>
    </xf>
    <xf numFmtId="1" fontId="11" fillId="0" borderId="0" xfId="56" applyNumberFormat="1" applyFont="1" applyFill="1" applyAlignment="1">
      <alignment horizontal="center"/>
      <protection/>
    </xf>
    <xf numFmtId="164" fontId="81" fillId="0" borderId="0" xfId="56" applyNumberFormat="1" applyFont="1" applyFill="1" applyAlignment="1" applyProtection="1">
      <alignment horizontal="left"/>
      <protection/>
    </xf>
    <xf numFmtId="164" fontId="7" fillId="0" borderId="0" xfId="56" applyNumberFormat="1" applyFont="1" applyBorder="1" applyAlignment="1" applyProtection="1">
      <alignment horizontal="right"/>
      <protection/>
    </xf>
    <xf numFmtId="0" fontId="23" fillId="0" borderId="0" xfId="60" applyFont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2" fontId="7" fillId="0" borderId="0" xfId="45" applyNumberFormat="1" applyFont="1" applyBorder="1" applyAlignment="1" applyProtection="1">
      <alignment horizontal="right"/>
      <protection/>
    </xf>
    <xf numFmtId="169" fontId="0" fillId="0" borderId="0" xfId="0" applyNumberFormat="1" applyFont="1" applyAlignment="1">
      <alignment/>
    </xf>
    <xf numFmtId="1" fontId="7" fillId="0" borderId="0" xfId="56" applyNumberFormat="1" applyFont="1" applyFill="1" applyBorder="1" applyAlignment="1" quotePrefix="1">
      <alignment horizontal="left"/>
      <protection/>
    </xf>
    <xf numFmtId="164" fontId="14" fillId="0" borderId="0" xfId="56" applyNumberFormat="1" applyFont="1" applyFill="1" applyBorder="1" applyAlignment="1" quotePrefix="1">
      <alignment horizontal="left"/>
      <protection/>
    </xf>
    <xf numFmtId="169" fontId="0" fillId="0" borderId="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43" fontId="9" fillId="0" borderId="0" xfId="0" applyNumberFormat="1" applyFont="1" applyFill="1" applyAlignment="1">
      <alignment horizontal="right"/>
    </xf>
    <xf numFmtId="169" fontId="0" fillId="0" borderId="12" xfId="0" applyNumberFormat="1" applyFont="1" applyBorder="1" applyAlignment="1">
      <alignment/>
    </xf>
    <xf numFmtId="0" fontId="11" fillId="0" borderId="0" xfId="60" applyFont="1" applyAlignment="1">
      <alignment horizontal="right"/>
      <protection/>
    </xf>
    <xf numFmtId="0" fontId="0" fillId="0" borderId="0" xfId="0" applyBorder="1" applyAlignment="1">
      <alignment horizontal="right"/>
    </xf>
    <xf numFmtId="0" fontId="23" fillId="0" borderId="0" xfId="60" applyFont="1" applyAlignment="1">
      <alignment horizontal="right"/>
      <protection/>
    </xf>
    <xf numFmtId="0" fontId="10" fillId="0" borderId="0" xfId="60" applyFont="1" applyAlignment="1">
      <alignment horizontal="right"/>
      <protection/>
    </xf>
    <xf numFmtId="0" fontId="0" fillId="0" borderId="18" xfId="0" applyBorder="1" applyAlignment="1">
      <alignment/>
    </xf>
    <xf numFmtId="0" fontId="125" fillId="0" borderId="0" xfId="57" applyFont="1" applyBorder="1" applyAlignment="1">
      <alignment horizontal="left"/>
      <protection/>
    </xf>
    <xf numFmtId="0" fontId="125" fillId="0" borderId="0" xfId="0" applyFont="1" applyBorder="1" applyAlignment="1">
      <alignment/>
    </xf>
    <xf numFmtId="0" fontId="125" fillId="0" borderId="0" xfId="57" applyFont="1" applyFill="1" applyBorder="1">
      <alignment/>
      <protection/>
    </xf>
    <xf numFmtId="167" fontId="37" fillId="0" borderId="0" xfId="0" applyNumberFormat="1" applyFont="1" applyBorder="1" applyAlignment="1">
      <alignment horizontal="center"/>
    </xf>
    <xf numFmtId="0" fontId="10" fillId="0" borderId="30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37" fontId="10" fillId="0" borderId="30" xfId="42" applyNumberFormat="1" applyFont="1" applyBorder="1" applyAlignment="1">
      <alignment horizontal="center"/>
    </xf>
    <xf numFmtId="37" fontId="10" fillId="0" borderId="0" xfId="42" applyNumberFormat="1" applyFont="1" applyBorder="1" applyAlignment="1">
      <alignment horizontal="center"/>
    </xf>
    <xf numFmtId="37" fontId="10" fillId="0" borderId="31" xfId="42" applyNumberFormat="1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37" fontId="10" fillId="0" borderId="0" xfId="42" applyNumberFormat="1" applyFont="1" applyFill="1" applyBorder="1" applyAlignment="1">
      <alignment horizontal="center"/>
    </xf>
    <xf numFmtId="43" fontId="10" fillId="0" borderId="0" xfId="42" applyFont="1" applyBorder="1" applyAlignment="1">
      <alignment/>
    </xf>
    <xf numFmtId="0" fontId="37" fillId="0" borderId="3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37" fontId="10" fillId="0" borderId="32" xfId="42" applyNumberFormat="1" applyFont="1" applyBorder="1" applyAlignment="1" quotePrefix="1">
      <alignment horizontal="center"/>
    </xf>
    <xf numFmtId="37" fontId="10" fillId="0" borderId="10" xfId="42" applyNumberFormat="1" applyFont="1" applyBorder="1" applyAlignment="1" quotePrefix="1">
      <alignment horizontal="center"/>
    </xf>
    <xf numFmtId="37" fontId="10" fillId="0" borderId="33" xfId="42" applyNumberFormat="1" applyFont="1" applyBorder="1" applyAlignment="1" quotePrefix="1">
      <alignment horizontal="center"/>
    </xf>
    <xf numFmtId="0" fontId="10" fillId="0" borderId="32" xfId="59" applyFont="1" applyBorder="1">
      <alignment/>
      <protection/>
    </xf>
    <xf numFmtId="0" fontId="10" fillId="0" borderId="10" xfId="59" applyFont="1" applyBorder="1">
      <alignment/>
      <protection/>
    </xf>
    <xf numFmtId="37" fontId="10" fillId="0" borderId="32" xfId="42" applyNumberFormat="1" applyFont="1" applyBorder="1" applyAlignment="1">
      <alignment horizontal="center"/>
    </xf>
    <xf numFmtId="37" fontId="10" fillId="0" borderId="10" xfId="42" applyNumberFormat="1" applyFont="1" applyBorder="1" applyAlignment="1">
      <alignment horizontal="center"/>
    </xf>
    <xf numFmtId="37" fontId="10" fillId="0" borderId="33" xfId="42" applyNumberFormat="1" applyFont="1" applyBorder="1" applyAlignment="1">
      <alignment horizontal="center"/>
    </xf>
    <xf numFmtId="0" fontId="37" fillId="0" borderId="66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37" fontId="21" fillId="0" borderId="28" xfId="42" applyNumberFormat="1" applyFont="1" applyBorder="1" applyAlignment="1">
      <alignment horizontal="left"/>
    </xf>
    <xf numFmtId="37" fontId="21" fillId="0" borderId="12" xfId="42" applyNumberFormat="1" applyFont="1" applyBorder="1" applyAlignment="1">
      <alignment horizontal="center"/>
    </xf>
    <xf numFmtId="37" fontId="21" fillId="0" borderId="30" xfId="42" applyNumberFormat="1" applyFont="1" applyBorder="1" applyAlignment="1">
      <alignment horizontal="left"/>
    </xf>
    <xf numFmtId="37" fontId="21" fillId="0" borderId="32" xfId="42" applyNumberFormat="1" applyFont="1" applyBorder="1" applyAlignment="1">
      <alignment horizontal="left"/>
    </xf>
    <xf numFmtId="37" fontId="37" fillId="0" borderId="30" xfId="42" applyNumberFormat="1" applyFont="1" applyBorder="1" applyAlignment="1">
      <alignment horizontal="left"/>
    </xf>
    <xf numFmtId="37" fontId="21" fillId="0" borderId="30" xfId="42" applyNumberFormat="1" applyFont="1" applyBorder="1" applyAlignment="1" quotePrefix="1">
      <alignment horizontal="left"/>
    </xf>
    <xf numFmtId="37" fontId="36" fillId="0" borderId="53" xfId="42" applyNumberFormat="1" applyFont="1" applyBorder="1" applyAlignment="1">
      <alignment/>
    </xf>
    <xf numFmtId="164" fontId="125" fillId="0" borderId="0" xfId="58" applyNumberFormat="1" applyFont="1" applyFill="1" applyAlignment="1" applyProtection="1">
      <alignment horizontal="center"/>
      <protection/>
    </xf>
    <xf numFmtId="0" fontId="125" fillId="0" borderId="0" xfId="0" applyFont="1" applyFill="1" applyAlignment="1">
      <alignment horizontal="center"/>
    </xf>
    <xf numFmtId="0" fontId="7" fillId="0" borderId="0" xfId="61" applyFont="1" applyBorder="1" applyAlignment="1">
      <alignment horizontal="center"/>
      <protection/>
    </xf>
    <xf numFmtId="164" fontId="10" fillId="0" borderId="0" xfId="45" applyNumberFormat="1" applyFont="1" applyBorder="1" applyAlignment="1">
      <alignment horizontal="right"/>
    </xf>
    <xf numFmtId="0" fontId="9" fillId="0" borderId="0" xfId="61" applyFont="1" applyBorder="1">
      <alignment/>
      <protection/>
    </xf>
    <xf numFmtId="167" fontId="7" fillId="0" borderId="0" xfId="42" applyNumberFormat="1" applyFont="1" applyBorder="1" applyAlignment="1">
      <alignment/>
    </xf>
    <xf numFmtId="0" fontId="10" fillId="0" borderId="0" xfId="61" applyFont="1" applyBorder="1" applyAlignment="1">
      <alignment horizontal="center"/>
      <protection/>
    </xf>
    <xf numFmtId="41" fontId="10" fillId="0" borderId="0" xfId="42" applyNumberFormat="1" applyFont="1" applyAlignment="1">
      <alignment/>
    </xf>
    <xf numFmtId="41" fontId="21" fillId="0" borderId="0" xfId="42" applyNumberFormat="1" applyFont="1" applyAlignment="1">
      <alignment/>
    </xf>
    <xf numFmtId="37" fontId="21" fillId="0" borderId="0" xfId="42" applyNumberFormat="1" applyFont="1" applyAlignment="1">
      <alignment horizontal="center"/>
    </xf>
    <xf numFmtId="37" fontId="21" fillId="0" borderId="0" xfId="42" applyNumberFormat="1" applyFont="1" applyAlignment="1" quotePrefix="1">
      <alignment horizontal="center"/>
    </xf>
    <xf numFmtId="37" fontId="21" fillId="0" borderId="0" xfId="42" applyNumberFormat="1" applyFont="1" applyAlignment="1" quotePrefix="1">
      <alignment horizontal="left"/>
    </xf>
    <xf numFmtId="41" fontId="21" fillId="0" borderId="0" xfId="42" applyNumberFormat="1" applyFont="1" applyAlignment="1" quotePrefix="1">
      <alignment horizontal="right"/>
    </xf>
    <xf numFmtId="172" fontId="7" fillId="0" borderId="0" xfId="45" applyNumberFormat="1" applyFont="1" applyAlignment="1">
      <alignment horizontal="right" readingOrder="1"/>
    </xf>
    <xf numFmtId="172" fontId="10" fillId="0" borderId="13" xfId="45" applyNumberFormat="1" applyFont="1" applyBorder="1" applyAlignment="1">
      <alignment horizontal="right"/>
    </xf>
    <xf numFmtId="172" fontId="7" fillId="0" borderId="13" xfId="45" applyNumberFormat="1" applyFont="1" applyFill="1" applyBorder="1" applyAlignment="1">
      <alignment horizontal="right" readingOrder="1"/>
    </xf>
    <xf numFmtId="164" fontId="160" fillId="0" borderId="0" xfId="56" applyNumberFormat="1" applyFont="1" applyBorder="1" applyAlignment="1">
      <alignment horizontal="right"/>
      <protection/>
    </xf>
    <xf numFmtId="166" fontId="160" fillId="0" borderId="0" xfId="56" applyNumberFormat="1" applyFont="1" applyBorder="1" applyAlignment="1">
      <alignment horizontal="right"/>
      <protection/>
    </xf>
    <xf numFmtId="164" fontId="161" fillId="0" borderId="0" xfId="56" applyNumberFormat="1" applyFont="1" applyBorder="1" applyAlignment="1" applyProtection="1">
      <alignment horizontal="right"/>
      <protection/>
    </xf>
    <xf numFmtId="164" fontId="11" fillId="0" borderId="0" xfId="56" applyNumberFormat="1" applyFont="1" applyAlignment="1" applyProtection="1">
      <alignment horizontal="left"/>
      <protection/>
    </xf>
    <xf numFmtId="0" fontId="7" fillId="0" borderId="67" xfId="57" applyFont="1" applyFill="1" applyBorder="1">
      <alignment/>
      <protection/>
    </xf>
    <xf numFmtId="0" fontId="7" fillId="0" borderId="30" xfId="59" applyFont="1" applyBorder="1" applyAlignment="1">
      <alignment horizontal="left"/>
      <protection/>
    </xf>
    <xf numFmtId="49" fontId="7" fillId="0" borderId="67" xfId="61" applyNumberFormat="1" applyFont="1" applyBorder="1">
      <alignment/>
      <protection/>
    </xf>
    <xf numFmtId="41" fontId="21" fillId="0" borderId="0" xfId="42" applyNumberFormat="1" applyFont="1" applyAlignment="1">
      <alignment horizontal="right"/>
    </xf>
    <xf numFmtId="170" fontId="7" fillId="0" borderId="0" xfId="42" applyNumberFormat="1" applyFont="1" applyAlignment="1">
      <alignment/>
    </xf>
    <xf numFmtId="0" fontId="7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41" fontId="21" fillId="0" borderId="0" xfId="42" applyNumberFormat="1" applyFont="1" applyAlignment="1" quotePrefix="1">
      <alignment horizontal="left"/>
    </xf>
    <xf numFmtId="43" fontId="56" fillId="0" borderId="0" xfId="42" applyFont="1" applyBorder="1" applyAlignment="1">
      <alignment/>
    </xf>
    <xf numFmtId="43" fontId="20" fillId="0" borderId="0" xfId="42" applyFont="1" applyBorder="1" applyAlignment="1">
      <alignment/>
    </xf>
    <xf numFmtId="171" fontId="7" fillId="0" borderId="0" xfId="45" applyNumberFormat="1" applyFont="1" applyBorder="1" applyAlignment="1">
      <alignment/>
    </xf>
    <xf numFmtId="164" fontId="20" fillId="0" borderId="0" xfId="42" applyNumberFormat="1" applyFont="1" applyBorder="1" applyAlignment="1">
      <alignment/>
    </xf>
    <xf numFmtId="43" fontId="20" fillId="0" borderId="0" xfId="42" applyNumberFormat="1" applyFont="1" applyBorder="1" applyAlignment="1">
      <alignment/>
    </xf>
    <xf numFmtId="43" fontId="11" fillId="0" borderId="0" xfId="62" applyNumberFormat="1" applyFont="1" applyBorder="1">
      <alignment/>
      <protection/>
    </xf>
    <xf numFmtId="0" fontId="125" fillId="0" borderId="0" xfId="62" applyFont="1" applyBorder="1">
      <alignment/>
      <protection/>
    </xf>
    <xf numFmtId="37" fontId="130" fillId="0" borderId="0" xfId="62" applyNumberFormat="1" applyFont="1" applyBorder="1">
      <alignment/>
      <protection/>
    </xf>
    <xf numFmtId="172" fontId="7" fillId="0" borderId="0" xfId="56" applyNumberFormat="1" applyFont="1" applyFill="1" applyAlignment="1" applyProtection="1">
      <alignment horizontal="right"/>
      <protection/>
    </xf>
    <xf numFmtId="172" fontId="7" fillId="0" borderId="0" xfId="56" applyNumberFormat="1" applyFont="1" applyAlignment="1" applyProtection="1">
      <alignment horizontal="right"/>
      <protection/>
    </xf>
    <xf numFmtId="37" fontId="21" fillId="0" borderId="0" xfId="42" applyNumberFormat="1" applyFont="1" applyFill="1" applyAlignment="1">
      <alignment/>
    </xf>
    <xf numFmtId="166" fontId="7" fillId="0" borderId="0" xfId="42" applyNumberFormat="1" applyFont="1" applyAlignment="1">
      <alignment/>
    </xf>
    <xf numFmtId="1" fontId="11" fillId="0" borderId="0" xfId="56" applyNumberFormat="1" applyFont="1" applyAlignment="1">
      <alignment horizontal="left"/>
      <protection/>
    </xf>
    <xf numFmtId="0" fontId="162" fillId="0" borderId="0" xfId="0" applyFont="1" applyFill="1" applyBorder="1" applyAlignment="1">
      <alignment horizontal="center"/>
    </xf>
    <xf numFmtId="164" fontId="162" fillId="0" borderId="0" xfId="56" applyNumberFormat="1" applyFont="1" applyFill="1" applyAlignment="1" applyProtection="1">
      <alignment horizontal="left"/>
      <protection/>
    </xf>
    <xf numFmtId="164" fontId="163" fillId="0" borderId="0" xfId="56" applyNumberFormat="1" applyFont="1" applyAlignment="1" applyProtection="1">
      <alignment horizontal="right"/>
      <protection/>
    </xf>
    <xf numFmtId="164" fontId="163" fillId="0" borderId="0" xfId="42" applyNumberFormat="1" applyFont="1" applyFill="1" applyAlignment="1">
      <alignment horizontal="right"/>
    </xf>
    <xf numFmtId="164" fontId="163" fillId="0" borderId="0" xfId="56" applyNumberFormat="1" applyFont="1" applyFill="1" applyAlignment="1" applyProtection="1">
      <alignment horizontal="right"/>
      <protection/>
    </xf>
    <xf numFmtId="164" fontId="163" fillId="0" borderId="0" xfId="56" applyNumberFormat="1" applyFont="1" applyAlignment="1" applyProtection="1" quotePrefix="1">
      <alignment horizontal="right"/>
      <protection/>
    </xf>
    <xf numFmtId="164" fontId="163" fillId="0" borderId="0" xfId="42" applyNumberFormat="1" applyFont="1" applyAlignment="1">
      <alignment horizontal="right"/>
    </xf>
    <xf numFmtId="166" fontId="163" fillId="0" borderId="0" xfId="56" applyNumberFormat="1" applyFont="1" applyAlignment="1">
      <alignment horizontal="right"/>
      <protection/>
    </xf>
    <xf numFmtId="164" fontId="163" fillId="0" borderId="0" xfId="56" applyNumberFormat="1" applyFont="1" applyAlignment="1">
      <alignment horizontal="right"/>
      <protection/>
    </xf>
    <xf numFmtId="164" fontId="163" fillId="0" borderId="0" xfId="42" applyNumberFormat="1" applyFont="1" applyAlignment="1">
      <alignment horizontal="right"/>
    </xf>
    <xf numFmtId="166" fontId="163" fillId="0" borderId="0" xfId="56" applyNumberFormat="1" applyFont="1" applyAlignment="1">
      <alignment horizontal="right"/>
      <protection/>
    </xf>
    <xf numFmtId="164" fontId="163" fillId="0" borderId="0" xfId="56" applyNumberFormat="1" applyFont="1" applyFill="1" applyAlignment="1">
      <alignment horizontal="right"/>
      <protection/>
    </xf>
    <xf numFmtId="166" fontId="163" fillId="0" borderId="0" xfId="56" applyNumberFormat="1" applyFont="1" applyFill="1" applyAlignment="1">
      <alignment horizontal="right"/>
      <protection/>
    </xf>
    <xf numFmtId="164" fontId="163" fillId="0" borderId="0" xfId="56" applyNumberFormat="1" applyFont="1" applyFill="1" applyAlignment="1">
      <alignment horizontal="right"/>
      <protection/>
    </xf>
    <xf numFmtId="166" fontId="163" fillId="0" borderId="0" xfId="56" applyNumberFormat="1" applyFont="1" applyFill="1" applyAlignment="1">
      <alignment horizontal="right"/>
      <protection/>
    </xf>
    <xf numFmtId="164" fontId="7" fillId="0" borderId="0" xfId="42" applyNumberFormat="1" applyFont="1" applyAlignment="1">
      <alignment horizontal="right"/>
    </xf>
    <xf numFmtId="166" fontId="7" fillId="0" borderId="0" xfId="42" applyNumberFormat="1" applyFont="1" applyAlignment="1">
      <alignment horizontal="right"/>
    </xf>
    <xf numFmtId="1" fontId="11" fillId="0" borderId="0" xfId="56" applyNumberFormat="1" applyFont="1" applyFill="1" applyAlignment="1" quotePrefix="1">
      <alignment horizontal="center"/>
      <protection/>
    </xf>
    <xf numFmtId="164" fontId="11" fillId="0" borderId="0" xfId="56" applyNumberFormat="1" applyFont="1" applyFill="1" applyAlignment="1">
      <alignment horizontal="left"/>
      <protection/>
    </xf>
    <xf numFmtId="169" fontId="7" fillId="0" borderId="0" xfId="65" applyNumberFormat="1" applyFont="1" applyAlignment="1" applyProtection="1">
      <alignment horizontal="right"/>
      <protection/>
    </xf>
    <xf numFmtId="164" fontId="11" fillId="0" borderId="0" xfId="56" applyNumberFormat="1" applyFont="1" applyAlignment="1" applyProtection="1">
      <alignment horizontal="left"/>
      <protection/>
    </xf>
    <xf numFmtId="49" fontId="7" fillId="0" borderId="0" xfId="61" applyNumberFormat="1" applyFont="1" applyFill="1">
      <alignment/>
      <protection/>
    </xf>
    <xf numFmtId="172" fontId="10" fillId="0" borderId="0" xfId="42" applyNumberFormat="1" applyFont="1" applyBorder="1" applyAlignment="1">
      <alignment/>
    </xf>
    <xf numFmtId="172" fontId="10" fillId="0" borderId="0" xfId="62" applyNumberFormat="1" applyFont="1" applyBorder="1">
      <alignment/>
      <protection/>
    </xf>
    <xf numFmtId="41" fontId="21" fillId="0" borderId="0" xfId="42" applyNumberFormat="1" applyFont="1" applyAlignment="1" quotePrefix="1">
      <alignment horizontal="center"/>
    </xf>
    <xf numFmtId="0" fontId="21" fillId="0" borderId="0" xfId="0" applyFont="1" applyFill="1" applyBorder="1" applyAlignment="1">
      <alignment horizontal="left"/>
    </xf>
    <xf numFmtId="172" fontId="7" fillId="0" borderId="0" xfId="42" applyNumberFormat="1" applyFont="1" applyFill="1" applyAlignment="1">
      <alignment horizontal="right"/>
    </xf>
    <xf numFmtId="1" fontId="11" fillId="0" borderId="0" xfId="56" applyNumberFormat="1" applyFont="1" applyFill="1" applyAlignment="1">
      <alignment horizontal="center"/>
      <protection/>
    </xf>
    <xf numFmtId="172" fontId="7" fillId="0" borderId="0" xfId="56" applyNumberFormat="1" applyFont="1" applyFill="1" applyAlignment="1">
      <alignment horizontal="right"/>
      <protection/>
    </xf>
    <xf numFmtId="172" fontId="7" fillId="0" borderId="0" xfId="45" applyNumberFormat="1" applyFont="1" applyFill="1" applyAlignment="1" applyProtection="1">
      <alignment horizontal="right"/>
      <protection/>
    </xf>
    <xf numFmtId="1" fontId="11" fillId="0" borderId="0" xfId="56" applyNumberFormat="1" applyFont="1" applyAlignment="1" quotePrefix="1">
      <alignment horizontal="center"/>
      <protection/>
    </xf>
    <xf numFmtId="1" fontId="162" fillId="0" borderId="0" xfId="56" applyNumberFormat="1" applyFont="1" applyAlignment="1" applyProtection="1" quotePrefix="1">
      <alignment horizontal="center"/>
      <protection/>
    </xf>
    <xf numFmtId="164" fontId="162" fillId="0" borderId="0" xfId="56" applyNumberFormat="1" applyFont="1" applyAlignment="1">
      <alignment horizontal="left"/>
      <protection/>
    </xf>
    <xf numFmtId="166" fontId="7" fillId="0" borderId="67" xfId="45" applyNumberFormat="1" applyFont="1" applyFill="1" applyBorder="1" applyAlignment="1">
      <alignment/>
    </xf>
    <xf numFmtId="166" fontId="7" fillId="0" borderId="10" xfId="42" applyNumberFormat="1" applyFont="1" applyBorder="1" applyAlignment="1">
      <alignment horizontal="center"/>
    </xf>
    <xf numFmtId="0" fontId="43" fillId="0" borderId="0" xfId="0" applyNumberFormat="1" applyFont="1" applyFill="1" applyBorder="1" applyAlignment="1" applyProtection="1" quotePrefix="1">
      <alignment horizontal="left"/>
      <protection/>
    </xf>
    <xf numFmtId="0" fontId="7" fillId="0" borderId="13" xfId="0" applyFont="1" applyFill="1" applyBorder="1" applyAlignment="1">
      <alignment horizontal="left"/>
    </xf>
    <xf numFmtId="164" fontId="7" fillId="0" borderId="13" xfId="56" applyNumberFormat="1" applyFont="1" applyBorder="1" applyAlignment="1" applyProtection="1">
      <alignment horizontal="left"/>
      <protection/>
    </xf>
    <xf numFmtId="164" fontId="7" fillId="0" borderId="13" xfId="56" applyNumberFormat="1" applyFont="1" applyFill="1" applyBorder="1" applyAlignment="1" applyProtection="1">
      <alignment horizontal="left"/>
      <protection/>
    </xf>
    <xf numFmtId="164" fontId="7" fillId="0" borderId="13" xfId="56" applyNumberFormat="1" applyFont="1" applyFill="1" applyBorder="1" applyAlignment="1" applyProtection="1" quotePrefix="1">
      <alignment horizontal="left"/>
      <protection/>
    </xf>
    <xf numFmtId="164" fontId="10" fillId="0" borderId="13" xfId="56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horizontal="left"/>
    </xf>
    <xf numFmtId="0" fontId="10" fillId="0" borderId="0" xfId="60" applyFont="1" applyAlignment="1">
      <alignment horizontal="right"/>
      <protection/>
    </xf>
    <xf numFmtId="49" fontId="10" fillId="0" borderId="15" xfId="61" applyNumberFormat="1" applyFont="1" applyBorder="1">
      <alignment/>
      <protection/>
    </xf>
    <xf numFmtId="164" fontId="7" fillId="0" borderId="0" xfId="42" applyNumberFormat="1" applyFont="1" applyFill="1" applyBorder="1" applyAlignment="1" applyProtection="1">
      <alignment horizontal="left"/>
      <protection/>
    </xf>
    <xf numFmtId="37" fontId="21" fillId="0" borderId="10" xfId="42" applyNumberFormat="1" applyFont="1" applyBorder="1" applyAlignment="1">
      <alignment horizontal="center" wrapText="1"/>
    </xf>
    <xf numFmtId="177" fontId="21" fillId="0" borderId="10" xfId="42" applyNumberFormat="1" applyFont="1" applyBorder="1" applyAlignment="1" quotePrefix="1">
      <alignment horizontal="center"/>
    </xf>
    <xf numFmtId="164" fontId="9" fillId="0" borderId="0" xfId="42" applyNumberFormat="1" applyFont="1" applyAlignment="1" applyProtection="1">
      <alignment/>
      <protection/>
    </xf>
    <xf numFmtId="5" fontId="2" fillId="0" borderId="0" xfId="58" applyNumberFormat="1" applyFont="1">
      <alignment/>
      <protection/>
    </xf>
    <xf numFmtId="5" fontId="9" fillId="0" borderId="0" xfId="42" applyNumberFormat="1" applyFont="1" applyAlignment="1">
      <alignment/>
    </xf>
    <xf numFmtId="37" fontId="9" fillId="0" borderId="0" xfId="58" applyNumberFormat="1" applyFont="1">
      <alignment/>
      <protection/>
    </xf>
    <xf numFmtId="37" fontId="2" fillId="0" borderId="0" xfId="58" applyNumberFormat="1" applyFont="1">
      <alignment/>
      <protection/>
    </xf>
    <xf numFmtId="37" fontId="9" fillId="0" borderId="0" xfId="42" applyNumberFormat="1" applyFont="1" applyAlignment="1">
      <alignment/>
    </xf>
    <xf numFmtId="37" fontId="9" fillId="0" borderId="0" xfId="42" applyNumberFormat="1" applyFont="1" applyFill="1" applyAlignment="1">
      <alignment/>
    </xf>
    <xf numFmtId="164" fontId="9" fillId="0" borderId="0" xfId="42" applyNumberFormat="1" applyFont="1" applyFill="1" applyAlignment="1" applyProtection="1">
      <alignment horizontal="left"/>
      <protection/>
    </xf>
    <xf numFmtId="37" fontId="9" fillId="0" borderId="0" xfId="58" applyNumberFormat="1" applyFont="1" applyFill="1">
      <alignment/>
      <protection/>
    </xf>
    <xf numFmtId="164" fontId="9" fillId="0" borderId="0" xfId="42" applyNumberFormat="1" applyFont="1" applyFill="1" applyAlignment="1">
      <alignment/>
    </xf>
    <xf numFmtId="37" fontId="2" fillId="0" borderId="0" xfId="58" applyNumberFormat="1" applyFont="1" applyFill="1">
      <alignment/>
      <protection/>
    </xf>
    <xf numFmtId="37" fontId="22" fillId="0" borderId="0" xfId="42" applyNumberFormat="1" applyFont="1" applyAlignment="1" applyProtection="1" quotePrefix="1">
      <alignment horizontal="center"/>
      <protection/>
    </xf>
    <xf numFmtId="164" fontId="9" fillId="0" borderId="11" xfId="42" applyNumberFormat="1" applyFont="1" applyBorder="1" applyAlignment="1" applyProtection="1">
      <alignment horizontal="left"/>
      <protection/>
    </xf>
    <xf numFmtId="5" fontId="9" fillId="0" borderId="11" xfId="42" applyNumberFormat="1" applyFont="1" applyBorder="1" applyAlignment="1">
      <alignment/>
    </xf>
    <xf numFmtId="37" fontId="9" fillId="0" borderId="11" xfId="42" applyNumberFormat="1" applyFont="1" applyBorder="1" applyAlignment="1">
      <alignment/>
    </xf>
    <xf numFmtId="37" fontId="9" fillId="0" borderId="15" xfId="42" applyNumberFormat="1" applyFont="1" applyBorder="1" applyAlignment="1" applyProtection="1">
      <alignment horizontal="left"/>
      <protection/>
    </xf>
    <xf numFmtId="164" fontId="9" fillId="0" borderId="15" xfId="42" applyNumberFormat="1" applyFont="1" applyBorder="1" applyAlignment="1" applyProtection="1">
      <alignment horizontal="left"/>
      <protection/>
    </xf>
    <xf numFmtId="5" fontId="9" fillId="0" borderId="15" xfId="42" applyNumberFormat="1" applyFont="1" applyBorder="1" applyAlignment="1">
      <alignment/>
    </xf>
    <xf numFmtId="164" fontId="88" fillId="0" borderId="0" xfId="42" applyNumberFormat="1" applyFont="1" applyAlignment="1" applyProtection="1">
      <alignment horizontal="left"/>
      <protection/>
    </xf>
    <xf numFmtId="37" fontId="9" fillId="0" borderId="0" xfId="42" applyNumberFormat="1" applyFont="1" applyAlignment="1">
      <alignment horizontal="left"/>
    </xf>
    <xf numFmtId="164" fontId="9" fillId="0" borderId="0" xfId="42" applyNumberFormat="1" applyFont="1" applyFill="1" applyAlignment="1">
      <alignment horizontal="left"/>
    </xf>
    <xf numFmtId="5" fontId="9" fillId="0" borderId="0" xfId="58" applyNumberFormat="1" applyFont="1" applyFill="1">
      <alignment/>
      <protection/>
    </xf>
    <xf numFmtId="164" fontId="9" fillId="0" borderId="15" xfId="42" applyNumberFormat="1" applyFont="1" applyBorder="1" applyAlignment="1">
      <alignment/>
    </xf>
    <xf numFmtId="37" fontId="9" fillId="0" borderId="15" xfId="42" applyNumberFormat="1" applyFont="1" applyBorder="1" applyAlignment="1">
      <alignment/>
    </xf>
    <xf numFmtId="37" fontId="22" fillId="0" borderId="0" xfId="42" applyNumberFormat="1" applyFont="1" applyAlignment="1" applyProtection="1">
      <alignment horizontal="center"/>
      <protection/>
    </xf>
    <xf numFmtId="164" fontId="22" fillId="0" borderId="0" xfId="42" applyNumberFormat="1" applyFont="1" applyAlignment="1" applyProtection="1">
      <alignment horizontal="left"/>
      <protection/>
    </xf>
    <xf numFmtId="164" fontId="22" fillId="0" borderId="0" xfId="42" applyNumberFormat="1" applyFont="1" applyAlignment="1" applyProtection="1">
      <alignment/>
      <protection/>
    </xf>
    <xf numFmtId="37" fontId="22" fillId="0" borderId="0" xfId="42" applyNumberFormat="1" applyFont="1" applyAlignment="1" applyProtection="1">
      <alignment/>
      <protection/>
    </xf>
    <xf numFmtId="164" fontId="22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>
      <alignment horizontal="center"/>
    </xf>
    <xf numFmtId="37" fontId="9" fillId="0" borderId="0" xfId="42" applyNumberFormat="1" applyFont="1" applyAlignment="1" applyProtection="1">
      <alignment/>
      <protection/>
    </xf>
    <xf numFmtId="164" fontId="22" fillId="0" borderId="0" xfId="42" applyNumberFormat="1" applyFont="1" applyAlignment="1">
      <alignment horizontal="center"/>
    </xf>
    <xf numFmtId="175" fontId="9" fillId="0" borderId="0" xfId="42" applyNumberFormat="1" applyFont="1" applyAlignment="1" applyProtection="1" quotePrefix="1">
      <alignment horizontal="center"/>
      <protection/>
    </xf>
    <xf numFmtId="164" fontId="9" fillId="0" borderId="0" xfId="58" applyNumberFormat="1" applyFont="1" applyAlignment="1" quotePrefix="1">
      <alignment horizontal="center"/>
      <protection/>
    </xf>
    <xf numFmtId="175" fontId="9" fillId="0" borderId="0" xfId="42" applyNumberFormat="1" applyFont="1" applyAlignment="1" applyProtection="1">
      <alignment horizontal="center"/>
      <protection/>
    </xf>
    <xf numFmtId="37" fontId="22" fillId="0" borderId="0" xfId="42" applyNumberFormat="1" applyFont="1" applyAlignment="1" applyProtection="1" quotePrefix="1">
      <alignment horizontal="center"/>
      <protection/>
    </xf>
    <xf numFmtId="172" fontId="11" fillId="0" borderId="0" xfId="62" applyNumberFormat="1" applyFont="1" applyBorder="1">
      <alignment/>
      <protection/>
    </xf>
    <xf numFmtId="1" fontId="10" fillId="0" borderId="0" xfId="56" applyNumberFormat="1" applyFont="1" applyAlignment="1" applyProtection="1" quotePrefix="1">
      <alignment horizontal="left"/>
      <protection/>
    </xf>
    <xf numFmtId="0" fontId="89" fillId="0" borderId="0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17" fontId="69" fillId="0" borderId="68" xfId="0" applyNumberFormat="1" applyFont="1" applyFill="1" applyBorder="1" applyAlignment="1">
      <alignment horizontal="center"/>
    </xf>
    <xf numFmtId="0" fontId="69" fillId="0" borderId="51" xfId="0" applyNumberFormat="1" applyFont="1" applyFill="1" applyBorder="1" applyAlignment="1">
      <alignment horizontal="center"/>
    </xf>
    <xf numFmtId="0" fontId="69" fillId="0" borderId="69" xfId="0" applyNumberFormat="1" applyFont="1" applyFill="1" applyBorder="1" applyAlignment="1">
      <alignment horizontal="center"/>
    </xf>
    <xf numFmtId="17" fontId="69" fillId="0" borderId="17" xfId="0" applyNumberFormat="1" applyFont="1" applyFill="1" applyBorder="1" applyAlignment="1" quotePrefix="1">
      <alignment horizontal="center"/>
    </xf>
    <xf numFmtId="0" fontId="69" fillId="0" borderId="0" xfId="0" applyNumberFormat="1" applyFont="1" applyFill="1" applyBorder="1" applyAlignment="1">
      <alignment horizontal="center"/>
    </xf>
    <xf numFmtId="0" fontId="69" fillId="0" borderId="18" xfId="0" applyNumberFormat="1" applyFont="1" applyFill="1" applyBorder="1" applyAlignment="1">
      <alignment horizontal="center"/>
    </xf>
    <xf numFmtId="37" fontId="3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6" fillId="0" borderId="0" xfId="42" applyNumberFormat="1" applyFont="1" applyAlignment="1">
      <alignment horizontal="center"/>
    </xf>
    <xf numFmtId="37" fontId="131" fillId="0" borderId="0" xfId="42" applyNumberFormat="1" applyFont="1" applyAlignment="1">
      <alignment horizontal="center"/>
    </xf>
    <xf numFmtId="37" fontId="132" fillId="0" borderId="0" xfId="42" applyNumberFormat="1" applyFont="1" applyAlignment="1">
      <alignment horizontal="center"/>
    </xf>
    <xf numFmtId="37" fontId="123" fillId="0" borderId="0" xfId="42" applyNumberFormat="1" applyFont="1" applyAlignment="1">
      <alignment horizontal="center"/>
    </xf>
    <xf numFmtId="1" fontId="16" fillId="0" borderId="0" xfId="42" applyNumberFormat="1" applyFont="1" applyFill="1" applyAlignment="1">
      <alignment horizontal="center"/>
    </xf>
    <xf numFmtId="1" fontId="5" fillId="0" borderId="0" xfId="42" applyNumberFormat="1" applyFont="1" applyFill="1" applyAlignment="1">
      <alignment horizontal="center"/>
    </xf>
    <xf numFmtId="1" fontId="57" fillId="0" borderId="0" xfId="42" applyNumberFormat="1" applyFont="1" applyFill="1" applyAlignment="1">
      <alignment horizontal="center"/>
    </xf>
    <xf numFmtId="1" fontId="7" fillId="0" borderId="0" xfId="42" applyNumberFormat="1" applyFont="1" applyFill="1" applyAlignment="1">
      <alignment horizontal="center"/>
    </xf>
    <xf numFmtId="1" fontId="3" fillId="0" borderId="0" xfId="42" applyNumberFormat="1" applyFont="1" applyAlignment="1">
      <alignment horizontal="center"/>
    </xf>
    <xf numFmtId="1" fontId="4" fillId="0" borderId="0" xfId="42" applyNumberFormat="1" applyFont="1" applyAlignment="1">
      <alignment horizontal="center"/>
    </xf>
    <xf numFmtId="1" fontId="7" fillId="0" borderId="0" xfId="42" applyNumberFormat="1" applyFont="1" applyAlignment="1">
      <alignment horizontal="center"/>
    </xf>
    <xf numFmtId="0" fontId="85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" fontId="3" fillId="0" borderId="0" xfId="42" applyNumberFormat="1" applyFont="1" applyBorder="1" applyAlignment="1">
      <alignment horizontal="center"/>
    </xf>
    <xf numFmtId="1" fontId="4" fillId="0" borderId="0" xfId="42" applyNumberFormat="1" applyFont="1" applyBorder="1" applyAlignment="1">
      <alignment horizontal="center"/>
    </xf>
    <xf numFmtId="1" fontId="57" fillId="0" borderId="0" xfId="42" applyNumberFormat="1" applyFont="1" applyBorder="1" applyAlignment="1">
      <alignment horizontal="center"/>
    </xf>
    <xf numFmtId="1" fontId="7" fillId="0" borderId="0" xfId="42" applyNumberFormat="1" applyFont="1" applyBorder="1" applyAlignment="1">
      <alignment horizontal="center"/>
    </xf>
    <xf numFmtId="37" fontId="57" fillId="0" borderId="0" xfId="42" applyNumberFormat="1" applyFont="1" applyAlignment="1">
      <alignment horizontal="center"/>
    </xf>
    <xf numFmtId="37" fontId="7" fillId="0" borderId="0" xfId="42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6" fillId="35" borderId="28" xfId="0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/>
    </xf>
    <xf numFmtId="0" fontId="36" fillId="35" borderId="29" xfId="0" applyFont="1" applyFill="1" applyBorder="1" applyAlignment="1">
      <alignment horizontal="center"/>
    </xf>
    <xf numFmtId="0" fontId="36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29" xfId="0" applyFill="1" applyBorder="1" applyAlignment="1">
      <alignment/>
    </xf>
    <xf numFmtId="0" fontId="27" fillId="0" borderId="0" xfId="0" applyFont="1" applyAlignment="1">
      <alignment horizontal="center"/>
    </xf>
    <xf numFmtId="37" fontId="46" fillId="0" borderId="0" xfId="42" applyNumberFormat="1" applyFont="1" applyAlignment="1">
      <alignment horizontal="center"/>
    </xf>
    <xf numFmtId="37" fontId="47" fillId="0" borderId="0" xfId="42" applyNumberFormat="1" applyFont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7" fillId="35" borderId="30" xfId="0" applyFont="1" applyFill="1" applyBorder="1" applyAlignment="1">
      <alignment horizontal="center"/>
    </xf>
    <xf numFmtId="0" fontId="37" fillId="35" borderId="0" xfId="0" applyFont="1" applyFill="1" applyBorder="1" applyAlignment="1">
      <alignment horizontal="center"/>
    </xf>
    <xf numFmtId="0" fontId="37" fillId="36" borderId="30" xfId="0" applyFont="1" applyFill="1" applyBorder="1" applyAlignment="1">
      <alignment horizontal="center"/>
    </xf>
    <xf numFmtId="0" fontId="37" fillId="36" borderId="0" xfId="0" applyFont="1" applyFill="1" applyBorder="1" applyAlignment="1">
      <alignment horizontal="center"/>
    </xf>
    <xf numFmtId="0" fontId="37" fillId="36" borderId="31" xfId="0" applyFont="1" applyFill="1" applyBorder="1" applyAlignment="1">
      <alignment horizontal="center"/>
    </xf>
    <xf numFmtId="43" fontId="46" fillId="0" borderId="0" xfId="42" applyFont="1" applyAlignment="1">
      <alignment horizontal="center"/>
    </xf>
    <xf numFmtId="43" fontId="48" fillId="0" borderId="0" xfId="42" applyFont="1" applyAlignment="1">
      <alignment horizontal="center"/>
    </xf>
    <xf numFmtId="0" fontId="37" fillId="35" borderId="28" xfId="0" applyFont="1" applyFill="1" applyBorder="1" applyAlignment="1">
      <alignment horizontal="center"/>
    </xf>
    <xf numFmtId="0" fontId="37" fillId="35" borderId="12" xfId="0" applyFont="1" applyFill="1" applyBorder="1" applyAlignment="1">
      <alignment horizontal="center"/>
    </xf>
    <xf numFmtId="0" fontId="37" fillId="35" borderId="29" xfId="0" applyFont="1" applyFill="1" applyBorder="1" applyAlignment="1">
      <alignment horizontal="center"/>
    </xf>
    <xf numFmtId="0" fontId="37" fillId="36" borderId="28" xfId="0" applyFont="1" applyFill="1" applyBorder="1" applyAlignment="1">
      <alignment horizontal="center"/>
    </xf>
    <xf numFmtId="0" fontId="37" fillId="36" borderId="12" xfId="0" applyFont="1" applyFill="1" applyBorder="1" applyAlignment="1">
      <alignment horizontal="center"/>
    </xf>
    <xf numFmtId="0" fontId="37" fillId="36" borderId="29" xfId="0" applyFont="1" applyFill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37" fontId="83" fillId="0" borderId="0" xfId="42" applyNumberFormat="1" applyFont="1" applyAlignment="1" quotePrefix="1">
      <alignment horizontal="center"/>
    </xf>
    <xf numFmtId="37" fontId="82" fillId="0" borderId="0" xfId="42" applyNumberFormat="1" applyFont="1" applyAlignment="1">
      <alignment horizontal="center"/>
    </xf>
    <xf numFmtId="37" fontId="82" fillId="0" borderId="0" xfId="42" applyNumberFormat="1" applyFont="1" applyBorder="1" applyAlignment="1">
      <alignment horizontal="center"/>
    </xf>
    <xf numFmtId="37" fontId="83" fillId="0" borderId="0" xfId="42" applyNumberFormat="1" applyFont="1" applyBorder="1" applyAlignment="1" quotePrefix="1">
      <alignment horizontal="center"/>
    </xf>
    <xf numFmtId="37" fontId="37" fillId="0" borderId="13" xfId="42" applyNumberFormat="1" applyFont="1" applyBorder="1" applyAlignment="1">
      <alignment horizontal="center"/>
    </xf>
    <xf numFmtId="37" fontId="21" fillId="0" borderId="0" xfId="42" applyNumberFormat="1" applyFont="1" applyBorder="1" applyAlignment="1" quotePrefix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94SEPTBL" xfId="56"/>
    <cellStyle name="Normal_FSR#0900" xfId="57"/>
    <cellStyle name="Normal_FSR(sept)" xfId="58"/>
    <cellStyle name="Normal_HEADCNT" xfId="59"/>
    <cellStyle name="Normal_JUNEFSR" xfId="60"/>
    <cellStyle name="Normal_OSDCOBJ" xfId="61"/>
    <cellStyle name="Normal_OSDCS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'[1]Chart data'!$R$15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data'!$R$16:$R$22</c:f>
              <c:numCache>
                <c:ptCount val="7"/>
                <c:pt idx="0">
                  <c:v>0</c:v>
                </c:pt>
                <c:pt idx="1">
                  <c:v>5696.1918000000005</c:v>
                </c:pt>
                <c:pt idx="2">
                  <c:v>597.089</c:v>
                </c:pt>
                <c:pt idx="3">
                  <c:v>936.2488999999999</c:v>
                </c:pt>
                <c:pt idx="4">
                  <c:v>2205.5787</c:v>
                </c:pt>
                <c:pt idx="5">
                  <c:v>1823.3011999999999</c:v>
                </c:pt>
                <c:pt idx="6">
                  <c:v>989.75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'[1]Chart data'!$E$15</c:f>
              <c:strCache>
                <c:ptCount val="1"/>
                <c:pt idx="0">
                  <c:v/>
                </c:pt>
              </c:strCache>
            </c:strRef>
          </c:tx>
          <c:spPr>
            <a:pattFill prst="wdUpDiag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'[1]Chart data'!$E$16:$E$22</c:f>
              <c:numCache>
                <c:ptCount val="7"/>
                <c:pt idx="0">
                  <c:v>0</c:v>
                </c:pt>
                <c:pt idx="1">
                  <c:v>6667.133833579999</c:v>
                </c:pt>
                <c:pt idx="2">
                  <c:v>605.1356144999999</c:v>
                </c:pt>
                <c:pt idx="3">
                  <c:v>986.9525168900001</c:v>
                </c:pt>
                <c:pt idx="4">
                  <c:v>2391.17310123</c:v>
                </c:pt>
                <c:pt idx="5">
                  <c:v>1988.92621655</c:v>
                </c:pt>
                <c:pt idx="6">
                  <c:v>1122.0852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'[1]Chart data'!$H$15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'[1]Chart data'!$H$16:$H$22</c:f>
              <c:numCache>
                <c:ptCount val="7"/>
                <c:pt idx="0">
                  <c:v>0</c:v>
                </c:pt>
                <c:pt idx="1">
                  <c:v>7158.832714960001</c:v>
                </c:pt>
                <c:pt idx="2">
                  <c:v>612.2810042099999</c:v>
                </c:pt>
                <c:pt idx="3">
                  <c:v>1080.4022249200002</c:v>
                </c:pt>
                <c:pt idx="4">
                  <c:v>2509.277680370001</c:v>
                </c:pt>
                <c:pt idx="5">
                  <c:v>2216.62824232</c:v>
                </c:pt>
                <c:pt idx="6">
                  <c:v>1333.9658241099999</c:v>
                </c:pt>
              </c:numCache>
            </c:numRef>
          </c:val>
          <c:shape val="box"/>
        </c:ser>
        <c:shape val="box"/>
        <c:axId val="41231683"/>
        <c:axId val="66249832"/>
      </c:bar3DChart>
      <c:catAx>
        <c:axId val="41231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49832"/>
        <c:crosses val="autoZero"/>
        <c:auto val="1"/>
        <c:lblOffset val="120"/>
        <c:tickLblSkip val="6"/>
        <c:noMultiLvlLbl val="0"/>
      </c:catAx>
      <c:valAx>
        <c:axId val="66249832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16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75" b="1" i="0" u="sng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05"/>
          <c:y val="0.272"/>
          <c:w val="0.48"/>
          <c:h val="0.4375"/>
        </c:manualLayout>
      </c:layout>
      <c:pie3DChart>
        <c:varyColors val="1"/>
        <c:ser>
          <c:idx val="0"/>
          <c:order val="0"/>
          <c:tx>
            <c:strRef>
              <c:f>'[4]revenue bar &amp; source data'!$F$4</c:f>
              <c:strCache>
                <c:ptCount val="1"/>
                <c:pt idx="0">
                  <c:v>FY2013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data'!$F$5:$F$8</c:f>
              <c:numCache>
                <c:ptCount val="4"/>
                <c:pt idx="0">
                  <c:v>1893928.4300000002</c:v>
                </c:pt>
                <c:pt idx="1">
                  <c:v>8127121.35</c:v>
                </c:pt>
                <c:pt idx="2">
                  <c:v>12718420.9828</c:v>
                </c:pt>
                <c:pt idx="3">
                  <c:v>174069.01100000006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25"/>
          <c:y val="0.84125"/>
          <c:w val="0.58825"/>
          <c:h val="0.1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'[1]Chart data'!$E$15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800000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data'!$E$16:$E$22</c:f>
              <c:numCache>
                <c:ptCount val="7"/>
                <c:pt idx="0">
                  <c:v>0</c:v>
                </c:pt>
                <c:pt idx="1">
                  <c:v>6667.133833579999</c:v>
                </c:pt>
                <c:pt idx="2">
                  <c:v>605.1356144999999</c:v>
                </c:pt>
                <c:pt idx="3">
                  <c:v>986.9525168900001</c:v>
                </c:pt>
                <c:pt idx="4">
                  <c:v>2391.17310123</c:v>
                </c:pt>
                <c:pt idx="5">
                  <c:v>1988.92621655</c:v>
                </c:pt>
                <c:pt idx="6">
                  <c:v>1122.0852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'[1]Chart data'!$H$15</c:f>
              <c:strCache>
                <c:ptCount val="1"/>
                <c:pt idx="0">
                  <c:v/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data'!$H$16:$H$22</c:f>
              <c:numCache>
                <c:ptCount val="7"/>
                <c:pt idx="0">
                  <c:v>0</c:v>
                </c:pt>
                <c:pt idx="1">
                  <c:v>7158.832714960001</c:v>
                </c:pt>
                <c:pt idx="2">
                  <c:v>612.2810042099999</c:v>
                </c:pt>
                <c:pt idx="3">
                  <c:v>1080.4022249200002</c:v>
                </c:pt>
                <c:pt idx="4">
                  <c:v>2509.277680370001</c:v>
                </c:pt>
                <c:pt idx="5">
                  <c:v>2216.62824232</c:v>
                </c:pt>
                <c:pt idx="6">
                  <c:v>1333.9658241099999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'[1]Chart data'!$K$15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data'!$K$16:$K$22</c:f>
              <c:numCache>
                <c:ptCount val="7"/>
                <c:pt idx="0">
                  <c:v>0</c:v>
                </c:pt>
                <c:pt idx="1">
                  <c:v>7546.15490997</c:v>
                </c:pt>
                <c:pt idx="2">
                  <c:v>591.2978266499999</c:v>
                </c:pt>
                <c:pt idx="3">
                  <c:v>1173.1463638900002</c:v>
                </c:pt>
                <c:pt idx="4">
                  <c:v>2553.50915341</c:v>
                </c:pt>
                <c:pt idx="5">
                  <c:v>2314.1423684099996</c:v>
                </c:pt>
                <c:pt idx="6">
                  <c:v>1565.04146</c:v>
                </c:pt>
              </c:numCache>
            </c:numRef>
          </c:val>
          <c:shape val="box"/>
        </c:ser>
        <c:shape val="box"/>
        <c:axId val="55941449"/>
        <c:axId val="56150198"/>
      </c:bar3DChart>
      <c:catAx>
        <c:axId val="55941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50198"/>
        <c:crosses val="autoZero"/>
        <c:auto val="1"/>
        <c:lblOffset val="120"/>
        <c:tickLblSkip val="1"/>
        <c:noMultiLvlLbl val="0"/>
      </c:catAx>
      <c:valAx>
        <c:axId val="56150198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41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'[2]Chart data'!$E$16</c:f>
              <c:strCache>
                <c:ptCount val="1"/>
                <c:pt idx="0">
                  <c:v>FY07</c:v>
                </c:pt>
              </c:strCache>
            </c:strRef>
          </c:tx>
          <c:spPr>
            <a:pattFill prst="pct5">
              <a:fgClr>
                <a:srgbClr val="800000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'[2]Chart data'!$B$17:$B$23</c:f>
              <c:strCache>
                <c:ptCount val="7"/>
                <c:pt idx="0">
                  <c:v>SCHOOLS</c:v>
                </c:pt>
                <c:pt idx="1">
                  <c:v>FIELD SUPPORT &amp; CENTRAL ADMIN. *</c:v>
                </c:pt>
                <c:pt idx="2">
                  <c:v>CITYWIDE SPEC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'[2]Chart data'!$E$17:$E$23</c:f>
              <c:numCache>
                <c:ptCount val="7"/>
                <c:pt idx="0">
                  <c:v>6667.133833579999</c:v>
                </c:pt>
                <c:pt idx="1">
                  <c:v>605.1356144999999</c:v>
                </c:pt>
                <c:pt idx="2">
                  <c:v>986.9525168900001</c:v>
                </c:pt>
                <c:pt idx="3">
                  <c:v>2391.17310123</c:v>
                </c:pt>
                <c:pt idx="4">
                  <c:v>1988.92621655</c:v>
                </c:pt>
                <c:pt idx="5">
                  <c:v>1122.0852</c:v>
                </c:pt>
                <c:pt idx="6">
                  <c:v>2107.1730150199996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'[2]Chart data'!$H$16</c:f>
              <c:strCache>
                <c:ptCount val="1"/>
                <c:pt idx="0">
                  <c:v>FY08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'[2]Chart data'!$B$17:$B$23</c:f>
              <c:strCache>
                <c:ptCount val="7"/>
                <c:pt idx="0">
                  <c:v>SCHOOLS</c:v>
                </c:pt>
                <c:pt idx="1">
                  <c:v>FIELD SUPPORT &amp; CENTRAL ADMIN. *</c:v>
                </c:pt>
                <c:pt idx="2">
                  <c:v>CITYWIDE SPEC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'[2]Chart data'!$H$17:$H$23</c:f>
              <c:numCache>
                <c:ptCount val="7"/>
                <c:pt idx="0">
                  <c:v>7158.832714960001</c:v>
                </c:pt>
                <c:pt idx="1">
                  <c:v>612.2810042099999</c:v>
                </c:pt>
                <c:pt idx="2">
                  <c:v>1080.4022249200002</c:v>
                </c:pt>
                <c:pt idx="3">
                  <c:v>2509.277680370001</c:v>
                </c:pt>
                <c:pt idx="4">
                  <c:v>2216.62824232</c:v>
                </c:pt>
                <c:pt idx="5">
                  <c:v>1333.9658241099999</c:v>
                </c:pt>
                <c:pt idx="6">
                  <c:v>2043.2501280200001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'[2]Chart data'!$K$16</c:f>
              <c:strCache>
                <c:ptCount val="1"/>
                <c:pt idx="0">
                  <c:v>FY09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'[2]Chart data'!$B$17:$B$23</c:f>
              <c:strCache>
                <c:ptCount val="7"/>
                <c:pt idx="0">
                  <c:v>SCHOOLS</c:v>
                </c:pt>
                <c:pt idx="1">
                  <c:v>FIELD SUPPORT &amp; CENTRAL ADMIN. *</c:v>
                </c:pt>
                <c:pt idx="2">
                  <c:v>CITYWIDE SPEC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'[2]Chart data'!$K$17:$K$23</c:f>
              <c:numCache>
                <c:ptCount val="7"/>
                <c:pt idx="0">
                  <c:v>7546.15490997</c:v>
                </c:pt>
                <c:pt idx="1">
                  <c:v>591.2978266499999</c:v>
                </c:pt>
                <c:pt idx="2">
                  <c:v>1173.1463638900002</c:v>
                </c:pt>
                <c:pt idx="3">
                  <c:v>2553.50915341</c:v>
                </c:pt>
                <c:pt idx="4">
                  <c:v>2314.1423684099996</c:v>
                </c:pt>
                <c:pt idx="5">
                  <c:v>1565.04146</c:v>
                </c:pt>
                <c:pt idx="6">
                  <c:v>1960.0619956900002</c:v>
                </c:pt>
              </c:numCache>
            </c:numRef>
          </c:val>
          <c:shape val="box"/>
        </c:ser>
        <c:shape val="box"/>
        <c:axId val="58863935"/>
        <c:axId val="27033652"/>
      </c:bar3DChart>
      <c:catAx>
        <c:axId val="58863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33652"/>
        <c:crosses val="autoZero"/>
        <c:auto val="1"/>
        <c:lblOffset val="120"/>
        <c:tickLblSkip val="1"/>
        <c:noMultiLvlLbl val="0"/>
      </c:catAx>
      <c:valAx>
        <c:axId val="27033652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63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'[3]SOURCE DOCUMENT'!$H$16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DOCUMENT'!$G$17:$G$23</c:f>
              <c:strCache>
                <c:ptCount val="7"/>
                <c:pt idx="0">
                  <c:v>FOOD, TRANS, FACILITIES &amp; SAFETY</c:v>
                </c:pt>
                <c:pt idx="1">
                  <c:v>FOOD, TRANS, FACILITIES &amp; SAFETY</c:v>
                </c:pt>
                <c:pt idx="2">
                  <c:v>FOOD, TRANS, FACILITIES &amp; SAFETY</c:v>
                </c:pt>
                <c:pt idx="3">
                  <c:v>FOOD, TRANS, FACILITIES &amp; SAFETY</c:v>
                </c:pt>
                <c:pt idx="4">
                  <c:v>FOOD, TRANS, FACILITIES &amp; SAFETY</c:v>
                </c:pt>
                <c:pt idx="5">
                  <c:v>FIELD SUPPORT &amp; CENTRAL ADMIN. </c:v>
                </c:pt>
                <c:pt idx="6">
                  <c:v>FIELD SUPPORT &amp; CENTRAL ADMIN. </c:v>
                </c:pt>
              </c:strCache>
            </c:strRef>
          </c:cat>
          <c:val>
            <c:numRef>
              <c:f>'[3]SOURCE DOCUMENT'!$H$17:$H$23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'[3]SOURCE DOCUMENT'!$J$16</c:f>
              <c:strCache>
                <c:ptCount val="1"/>
                <c:pt idx="0">
                  <c:v>FY08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DOCUMENT'!$G$17:$G$23</c:f>
              <c:strCache>
                <c:ptCount val="7"/>
                <c:pt idx="0">
                  <c:v>FOOD, TRANS, FACILITIES &amp; SAFETY</c:v>
                </c:pt>
                <c:pt idx="1">
                  <c:v>FOOD, TRANS, FACILITIES &amp; SAFETY</c:v>
                </c:pt>
                <c:pt idx="2">
                  <c:v>FOOD, TRANS, FACILITIES &amp; SAFETY</c:v>
                </c:pt>
                <c:pt idx="3">
                  <c:v>FOOD, TRANS, FACILITIES &amp; SAFETY</c:v>
                </c:pt>
                <c:pt idx="4">
                  <c:v>FOOD, TRANS, FACILITIES &amp; SAFETY</c:v>
                </c:pt>
                <c:pt idx="5">
                  <c:v>FIELD SUPPORT &amp; CENTRAL ADMIN. </c:v>
                </c:pt>
                <c:pt idx="6">
                  <c:v>FIELD SUPPORT &amp; CENTRAL ADMIN. </c:v>
                </c:pt>
              </c:strCache>
            </c:strRef>
          </c:cat>
          <c:val>
            <c:numRef>
              <c:f>'[3]SOURCE DOCUMENT'!$J$17:$J$23</c:f>
              <c:numCache>
                <c:ptCount val="7"/>
                <c:pt idx="0">
                  <c:v>7158.832714960001</c:v>
                </c:pt>
                <c:pt idx="1">
                  <c:v>612.2810042099999</c:v>
                </c:pt>
                <c:pt idx="2">
                  <c:v>1080.4022249200002</c:v>
                </c:pt>
                <c:pt idx="3">
                  <c:v>2509.277680370001</c:v>
                </c:pt>
                <c:pt idx="4">
                  <c:v>2216.62824232</c:v>
                </c:pt>
                <c:pt idx="5">
                  <c:v>1333.9658241099999</c:v>
                </c:pt>
                <c:pt idx="6">
                  <c:v>2043.2501280200001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'[3]SOURCE DOCUMENT'!$L$16</c:f>
              <c:strCache>
                <c:ptCount val="1"/>
                <c:pt idx="0">
                  <c:v>FY09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DOCUMENT'!$G$17:$G$23</c:f>
              <c:strCache>
                <c:ptCount val="7"/>
                <c:pt idx="0">
                  <c:v>FOOD, TRANS, FACILITIES &amp; SAFETY</c:v>
                </c:pt>
                <c:pt idx="1">
                  <c:v>FOOD, TRANS, FACILITIES &amp; SAFETY</c:v>
                </c:pt>
                <c:pt idx="2">
                  <c:v>FOOD, TRANS, FACILITIES &amp; SAFETY</c:v>
                </c:pt>
                <c:pt idx="3">
                  <c:v>FOOD, TRANS, FACILITIES &amp; SAFETY</c:v>
                </c:pt>
                <c:pt idx="4">
                  <c:v>FOOD, TRANS, FACILITIES &amp; SAFETY</c:v>
                </c:pt>
                <c:pt idx="5">
                  <c:v>FIELD SUPPORT &amp; CENTRAL ADMIN. </c:v>
                </c:pt>
                <c:pt idx="6">
                  <c:v>FIELD SUPPORT &amp; CENTRAL ADMIN. </c:v>
                </c:pt>
              </c:strCache>
            </c:strRef>
          </c:cat>
          <c:val>
            <c:numRef>
              <c:f>'[3]SOURCE DOCUMENT'!$L$17:$L$23</c:f>
              <c:numCache>
                <c:ptCount val="7"/>
                <c:pt idx="0">
                  <c:v>7546.15490997</c:v>
                </c:pt>
                <c:pt idx="1">
                  <c:v>591.2978266499999</c:v>
                </c:pt>
                <c:pt idx="2">
                  <c:v>1173.1463638900002</c:v>
                </c:pt>
                <c:pt idx="3">
                  <c:v>2553.50915341</c:v>
                </c:pt>
                <c:pt idx="4">
                  <c:v>2314.1423684099996</c:v>
                </c:pt>
                <c:pt idx="5">
                  <c:v>1565.04146</c:v>
                </c:pt>
                <c:pt idx="6">
                  <c:v>1960.0619956900002</c:v>
                </c:pt>
              </c:numCache>
            </c:numRef>
          </c:val>
          <c:shape val="box"/>
        </c:ser>
        <c:shape val="box"/>
        <c:axId val="15893157"/>
        <c:axId val="5284450"/>
      </c:bar3DChart>
      <c:catAx>
        <c:axId val="15893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450"/>
        <c:crosses val="autoZero"/>
        <c:auto val="1"/>
        <c:lblOffset val="120"/>
        <c:tickLblSkip val="1"/>
        <c:noMultiLvlLbl val="0"/>
      </c:catAx>
      <c:valAx>
        <c:axId val="5284450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93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'[3]SOURCE DOCUMENT'!$J$16</c:f>
              <c:strCache>
                <c:ptCount val="1"/>
                <c:pt idx="0">
                  <c:v>FY08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DOCUMENT'!$I$17:$I$23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'[3]SOURCE DOCUMENT'!$J$17:$J$23</c:f>
              <c:numCache>
                <c:ptCount val="7"/>
                <c:pt idx="0">
                  <c:v>7158.832714960001</c:v>
                </c:pt>
                <c:pt idx="1">
                  <c:v>612.2810042099999</c:v>
                </c:pt>
                <c:pt idx="2">
                  <c:v>1080.4022249200002</c:v>
                </c:pt>
                <c:pt idx="3">
                  <c:v>2509.277680370001</c:v>
                </c:pt>
                <c:pt idx="4">
                  <c:v>2216.62824232</c:v>
                </c:pt>
                <c:pt idx="5">
                  <c:v>1333.9658241099999</c:v>
                </c:pt>
                <c:pt idx="6">
                  <c:v>2043.2501280200001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'[3]SOURCE DOCUMENT'!$L$16</c:f>
              <c:strCache>
                <c:ptCount val="1"/>
                <c:pt idx="0">
                  <c:v>FY09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DOCUMENT'!$I$17:$I$23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'[3]SOURCE DOCUMENT'!$L$17:$L$23</c:f>
              <c:numCache>
                <c:ptCount val="7"/>
                <c:pt idx="0">
                  <c:v>7546.15490997</c:v>
                </c:pt>
                <c:pt idx="1">
                  <c:v>591.2978266499999</c:v>
                </c:pt>
                <c:pt idx="2">
                  <c:v>1173.1463638900002</c:v>
                </c:pt>
                <c:pt idx="3">
                  <c:v>2553.50915341</c:v>
                </c:pt>
                <c:pt idx="4">
                  <c:v>2314.1423684099996</c:v>
                </c:pt>
                <c:pt idx="5">
                  <c:v>1565.04146</c:v>
                </c:pt>
                <c:pt idx="6">
                  <c:v>1960.0619956900002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'[3]SOURCE DOCUMENT'!$N$16</c:f>
              <c:strCache>
                <c:ptCount val="1"/>
                <c:pt idx="0">
                  <c:v>FY10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DOCUMENT'!$I$17:$I$23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'[3]SOURCE DOCUMENT'!$N$17:$N$23</c:f>
              <c:numCache>
                <c:ptCount val="7"/>
                <c:pt idx="0">
                  <c:v>7059.198206569999</c:v>
                </c:pt>
                <c:pt idx="1">
                  <c:v>568.36182018</c:v>
                </c:pt>
                <c:pt idx="2">
                  <c:v>1212.55117636</c:v>
                </c:pt>
                <c:pt idx="3">
                  <c:v>2721.01334119</c:v>
                </c:pt>
                <c:pt idx="4">
                  <c:v>2502.86164257</c:v>
                </c:pt>
                <c:pt idx="5">
                  <c:v>1901.51529757</c:v>
                </c:pt>
                <c:pt idx="6">
                  <c:v>2328.16506327</c:v>
                </c:pt>
              </c:numCache>
            </c:numRef>
          </c:val>
          <c:shape val="box"/>
        </c:ser>
        <c:shape val="box"/>
        <c:axId val="1588987"/>
        <c:axId val="20656832"/>
      </c:bar3DChart>
      <c:catAx>
        <c:axId val="1588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6832"/>
        <c:crosses val="autoZero"/>
        <c:auto val="1"/>
        <c:lblOffset val="120"/>
        <c:tickLblSkip val="1"/>
        <c:noMultiLvlLbl val="0"/>
      </c:catAx>
      <c:valAx>
        <c:axId val="20656832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8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</a:rPr>
              <a:t>NYC DEPARTMENT OF EDUCATION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YEAR-END COMMITMENTS BY ORGANIZATIONAL GROUPING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$ IN MILLIONS</a:t>
            </a:r>
          </a:p>
        </c:rich>
      </c:tx>
      <c:layout>
        <c:manualLayout>
          <c:xMode val="factor"/>
          <c:yMode val="factor"/>
          <c:x val="0.01375"/>
          <c:y val="-0.00975"/>
        </c:manualLayout>
      </c:layout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>
        <c:manualLayout>
          <c:xMode val="edge"/>
          <c:yMode val="edge"/>
          <c:x val="0"/>
          <c:y val="0.10875"/>
          <c:w val="0.8715"/>
          <c:h val="0.71525"/>
        </c:manualLayout>
      </c:layout>
      <c:bar3DChart>
        <c:barDir val="bar"/>
        <c:grouping val="clustered"/>
        <c:varyColors val="0"/>
        <c:ser>
          <c:idx val="2"/>
          <c:order val="0"/>
          <c:tx>
            <c:strRef>
              <c:f>'[5]SOURCE DOCUMENT'!$M$17</c:f>
              <c:strCache>
                <c:ptCount val="1"/>
                <c:pt idx="0">
                  <c:v>FY2013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'[5]SOURCE DOCUMENT'!$L$18:$L$24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'[5]SOURCE DOCUMENT'!$M$18:$M$24</c:f>
              <c:numCache>
                <c:ptCount val="7"/>
                <c:pt idx="0">
                  <c:v>7245.589147150001</c:v>
                </c:pt>
                <c:pt idx="1">
                  <c:v>419.42572471</c:v>
                </c:pt>
                <c:pt idx="2">
                  <c:v>1291.33635704</c:v>
                </c:pt>
                <c:pt idx="3">
                  <c:v>2907.16513062</c:v>
                </c:pt>
                <c:pt idx="4">
                  <c:v>2814.367904</c:v>
                </c:pt>
                <c:pt idx="5">
                  <c:v>2489.43314886</c:v>
                </c:pt>
                <c:pt idx="6">
                  <c:v>1963.2255760300002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'[5]SOURCE DOCUMENT'!$O$17</c:f>
              <c:strCache>
                <c:ptCount val="1"/>
                <c:pt idx="0">
                  <c:v>FY2014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'[5]SOURCE DOCUMENT'!$L$18:$L$24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'[5]SOURCE DOCUMENT'!$O$18:$O$24</c:f>
              <c:numCache>
                <c:ptCount val="7"/>
                <c:pt idx="0">
                  <c:v>7496.710626370001</c:v>
                </c:pt>
                <c:pt idx="1">
                  <c:v>489.10085361</c:v>
                </c:pt>
                <c:pt idx="2">
                  <c:v>1284.44962916</c:v>
                </c:pt>
                <c:pt idx="3">
                  <c:v>2981.15637867</c:v>
                </c:pt>
                <c:pt idx="4">
                  <c:v>2837.78381159</c:v>
                </c:pt>
                <c:pt idx="5">
                  <c:v>2571.7729728199997</c:v>
                </c:pt>
                <c:pt idx="6">
                  <c:v>2032.4835172199998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'[5]SOURCE DOCUMENT'!$Q$17</c:f>
              <c:strCache>
                <c:ptCount val="1"/>
                <c:pt idx="0">
                  <c:v>FY2015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'[5]SOURCE DOCUMENT'!$L$18:$L$24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'[5]SOURCE DOCUMENT'!$Q$18:$Q$24</c:f>
              <c:numCache>
                <c:ptCount val="7"/>
                <c:pt idx="0">
                  <c:v>7765.456124799999</c:v>
                </c:pt>
                <c:pt idx="1">
                  <c:v>606.39008826</c:v>
                </c:pt>
                <c:pt idx="2">
                  <c:v>1379.61762301</c:v>
                </c:pt>
                <c:pt idx="3">
                  <c:v>3129.0619078800005</c:v>
                </c:pt>
                <c:pt idx="4">
                  <c:v>2876.58014837</c:v>
                </c:pt>
                <c:pt idx="5">
                  <c:v>2859.97892038</c:v>
                </c:pt>
                <c:pt idx="6">
                  <c:v>2252.27666062</c:v>
                </c:pt>
              </c:numCache>
            </c:numRef>
          </c:val>
          <c:shape val="box"/>
        </c:ser>
        <c:shape val="box"/>
        <c:axId val="103361"/>
        <c:axId val="1343694"/>
      </c:bar3DChart>
      <c:catAx>
        <c:axId val="103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1343694"/>
        <c:crosses val="autoZero"/>
        <c:auto val="1"/>
        <c:lblOffset val="120"/>
        <c:tickLblSkip val="1"/>
        <c:noMultiLvlLbl val="0"/>
      </c:catAx>
      <c:valAx>
        <c:axId val="1343694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3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47"/>
          <c:w val="0.1167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NEW YORK CITY DEPARTMENT OF EDUCATION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REVENUE TRENDS as of YEAR-END CLOSE: FY2013-FY2015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($000s)
</a:t>
            </a:r>
          </a:p>
        </c:rich>
      </c:tx>
      <c:layout>
        <c:manualLayout>
          <c:xMode val="factor"/>
          <c:yMode val="factor"/>
          <c:x val="0.0112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3"/>
          <c:w val="0.91525"/>
          <c:h val="0.77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'[4]revenue bar &amp; source data'!$B$4</c:f>
              <c:strCache>
                <c:ptCount val="1"/>
                <c:pt idx="0">
                  <c:v>FY2015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data'!$B$5:$B$8</c:f>
              <c:numCache>
                <c:ptCount val="4"/>
                <c:pt idx="0">
                  <c:v>1715628.103</c:v>
                </c:pt>
                <c:pt idx="1">
                  <c:v>9191671.451</c:v>
                </c:pt>
                <c:pt idx="2">
                  <c:v>14005853.703</c:v>
                </c:pt>
                <c:pt idx="3">
                  <c:v>221469.652</c:v>
                </c:pt>
              </c:numCache>
            </c:numRef>
          </c:val>
        </c:ser>
        <c:ser>
          <c:idx val="1"/>
          <c:order val="1"/>
          <c:tx>
            <c:strRef>
              <c:f>'[4]revenue bar &amp; source data'!$D$4</c:f>
              <c:strCache>
                <c:ptCount val="1"/>
                <c:pt idx="0">
                  <c:v>FY2014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data'!$D$5:$D$8</c:f>
              <c:numCache>
                <c:ptCount val="4"/>
                <c:pt idx="0">
                  <c:v>1713518.951</c:v>
                </c:pt>
                <c:pt idx="1">
                  <c:v>8482040.152</c:v>
                </c:pt>
                <c:pt idx="2">
                  <c:v>13418952.63</c:v>
                </c:pt>
                <c:pt idx="3">
                  <c:v>201873.43</c:v>
                </c:pt>
              </c:numCache>
            </c:numRef>
          </c:val>
        </c:ser>
        <c:ser>
          <c:idx val="0"/>
          <c:order val="2"/>
          <c:tx>
            <c:strRef>
              <c:f>'[4]revenue bar &amp; source data'!$F$4</c:f>
              <c:strCache>
                <c:ptCount val="1"/>
                <c:pt idx="0">
                  <c:v>FY2013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data'!$F$5:$F$8</c:f>
              <c:numCache>
                <c:ptCount val="4"/>
                <c:pt idx="0">
                  <c:v>1893928.4300000002</c:v>
                </c:pt>
                <c:pt idx="1">
                  <c:v>8127121.35</c:v>
                </c:pt>
                <c:pt idx="2">
                  <c:v>12718420.9828</c:v>
                </c:pt>
                <c:pt idx="3">
                  <c:v>174069.01100000006</c:v>
                </c:pt>
              </c:numCache>
            </c:numRef>
          </c:val>
        </c:ser>
        <c:axId val="17468023"/>
        <c:axId val="25757708"/>
      </c:barChart>
      <c:catAx>
        <c:axId val="17468023"/>
        <c:scaling>
          <c:orientation val="minMax"/>
        </c:scaling>
        <c:axPos val="b"/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757708"/>
        <c:crosses val="autoZero"/>
        <c:auto val="1"/>
        <c:lblOffset val="60"/>
        <c:tickLblSkip val="1"/>
        <c:noMultiLvlLbl val="0"/>
      </c:catAx>
      <c:valAx>
        <c:axId val="257577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468023"/>
        <c:crossesAt val="1"/>
        <c:crossBetween val="between"/>
        <c:dispUnits/>
        <c:majorUnit val="1000000"/>
      </c:valAx>
      <c:spPr>
        <a:solidFill>
          <a:srgbClr val="CCFFFF"/>
        </a:soli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25525"/>
          <c:y val="0.92125"/>
          <c:w val="0.51575"/>
          <c:h val="0.07"/>
        </c:manualLayout>
      </c:layout>
      <c:overlay val="0"/>
      <c:spPr>
        <a:solidFill>
          <a:srgbClr val="FFFFFF"/>
        </a:solidFill>
        <a:ln w="12700">
          <a:solidFill>
            <a:srgbClr val="CCFFCC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75" b="1" i="0" u="sng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25"/>
          <c:y val="0.2835"/>
          <c:w val="0.4835"/>
          <c:h val="0.4365"/>
        </c:manualLayout>
      </c:layout>
      <c:pie3DChart>
        <c:varyColors val="1"/>
        <c:ser>
          <c:idx val="0"/>
          <c:order val="0"/>
          <c:tx>
            <c:strRef>
              <c:f>'[4]revenue bar &amp; source data'!$D$4</c:f>
              <c:strCache>
                <c:ptCount val="1"/>
                <c:pt idx="0">
                  <c:v>FY2014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data'!$E$5:$E$8</c:f>
              <c:numCache>
                <c:ptCount val="4"/>
                <c:pt idx="0">
                  <c:v>0.07194706246446002</c:v>
                </c:pt>
                <c:pt idx="1">
                  <c:v>0.3561430542019153</c:v>
                </c:pt>
                <c:pt idx="2">
                  <c:v>0.5634336419301382</c:v>
                </c:pt>
                <c:pt idx="3">
                  <c:v>0.008476241403486408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75"/>
          <c:y val="0.82175"/>
          <c:w val="0.583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</a:rPr>
              <a:t>FY2015</a:t>
            </a:r>
          </a:p>
        </c:rich>
      </c:tx>
      <c:layout>
        <c:manualLayout>
          <c:xMode val="factor"/>
          <c:yMode val="factor"/>
          <c:x val="-0.0095"/>
          <c:y val="-0.018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75"/>
          <c:y val="0.28025"/>
          <c:w val="0.49725"/>
          <c:h val="0.445"/>
        </c:manualLayout>
      </c:layout>
      <c:pie3DChart>
        <c:varyColors val="1"/>
        <c:ser>
          <c:idx val="0"/>
          <c:order val="0"/>
          <c:tx>
            <c:strRef>
              <c:f>'[4]revenue bar &amp; source data'!$B$4</c:f>
              <c:strCache>
                <c:ptCount val="1"/>
                <c:pt idx="0">
                  <c:v>FY2015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data'!$B$5:$B$8</c:f>
              <c:numCache>
                <c:ptCount val="4"/>
                <c:pt idx="0">
                  <c:v>1715628.103</c:v>
                </c:pt>
                <c:pt idx="1">
                  <c:v>9191671.451</c:v>
                </c:pt>
                <c:pt idx="2">
                  <c:v>14005853.703</c:v>
                </c:pt>
                <c:pt idx="3">
                  <c:v>221469.652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5"/>
          <c:y val="0.85825"/>
          <c:w val="0.606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-0.01775</cdr:y>
    </cdr:from>
    <cdr:to>
      <cdr:x>0.085</cdr:x>
      <cdr:y>0.212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0.8285</cdr:y>
    </cdr:from>
    <cdr:to>
      <cdr:x>0.85925</cdr:x>
      <cdr:y>0.986</cdr:y>
    </cdr:to>
    <cdr:sp>
      <cdr:nvSpPr>
        <cdr:cNvPr id="2" name="Text Box 2"/>
        <cdr:cNvSpPr txBox="1">
          <a:spLocks noChangeArrowheads="1"/>
        </cdr:cNvSpPr>
      </cdr:nvSpPr>
      <cdr:spPr>
        <a:xfrm>
          <a:off x="1076325" y="0"/>
          <a:ext cx="5476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FY2007 &amp; FY2008, tax-levy related expenditures included in categorical u/as 481/2 were transferred to other u/as.  Year-end Collective Bargaining accruals are excluded.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0.08425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0.8715</cdr:y>
    </cdr:from>
    <cdr:to>
      <cdr:x>0.879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48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FY2007 &amp; FY2008, tax-levy related expenditures included in categorical u/as 481/2 were transferred to other u/as.  Year-end Collective Bargaining accruals are excluded.  This chart excludes expenditures of $158.5 million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 fiscal year 2008, Regional &amp; Citywide Instruction &amp; Operational Administration was replaced by School Support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Organizations and Integrated Service Centers.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0.08425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</cdr:y>
    </cdr:from>
    <cdr:to>
      <cdr:x>0.879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57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FY2007 &amp; FY2008, tax-levy related expenditures included in categorical u/as 481/2 were transferred to other u/as.  Year-end Collective Bargaining accruals are excluded.  This chart excludes expenditures of  $158.5 million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 fiscal year 2008, Regional &amp; Citywide Instruction &amp; Operational Administration was replaced by School Support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Organizations and Integrated Service Centers.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</cdr:y>
    </cdr:from>
    <cdr:to>
      <cdr:x>0.87475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19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FY2008, tax-levy related expenditures included in categorical u/as 481/2 were transferred to other u/as.  Year-end Collective Bargaining accruals are excluded.  This chart excludes expenditures of  $170.9 million fpr FY2010 and $158.5 million for FY2009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 fiscal year 2008, Regional &amp; Citywide Instruction &amp; Operational Administration was replaced by School Support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Organizations and Integrated Service Centers.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</cdr:y>
    </cdr:from>
    <cdr:to>
      <cdr:x>0.87475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19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FY2008, tax-levy related expenditures included in categorical u/as 481/2 were transferred to other u/as.  Year-end Collective Bargaining accruals are excluded.  This chart excludes expenditures of  $170.9 million for FY2010 and $158.5 million for FY2009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</cdr:x>
      <cdr:y>0.8685</cdr:y>
    </cdr:from>
    <cdr:to>
      <cdr:x>0.84925</cdr:x>
      <cdr:y>0.99175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1095375" y="5153025"/>
          <a:ext cx="54197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--  Schools include Special Education. The majority of Categorical funds are earmarked for Schools &amp; Citywide Special Education. Year-end Collective Bargaining accruals are excluded. This chart excludes commitments of $130 million for FY2015, $145.5 million for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FY2014 and $101.9 million for FY2013 which are associated with GASB 49. Totals may not add up due to rounding.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2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352425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7667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361950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0" y="0"/>
        <a:ext cx="7677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361950</xdr:colOff>
      <xdr:row>0</xdr:row>
      <xdr:rowOff>0</xdr:rowOff>
    </xdr:to>
    <xdr:graphicFrame>
      <xdr:nvGraphicFramePr>
        <xdr:cNvPr id="4" name="Chart 2"/>
        <xdr:cNvGraphicFramePr/>
      </xdr:nvGraphicFramePr>
      <xdr:xfrm>
        <a:off x="0" y="0"/>
        <a:ext cx="767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361950</xdr:colOff>
      <xdr:row>0</xdr:row>
      <xdr:rowOff>0</xdr:rowOff>
    </xdr:to>
    <xdr:graphicFrame>
      <xdr:nvGraphicFramePr>
        <xdr:cNvPr id="5" name="Chart 2"/>
        <xdr:cNvGraphicFramePr/>
      </xdr:nvGraphicFramePr>
      <xdr:xfrm>
        <a:off x="0" y="0"/>
        <a:ext cx="7677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0</xdr:row>
      <xdr:rowOff>28575</xdr:rowOff>
    </xdr:from>
    <xdr:to>
      <xdr:col>12</xdr:col>
      <xdr:colOff>485775</xdr:colOff>
      <xdr:row>36</xdr:row>
      <xdr:rowOff>133350</xdr:rowOff>
    </xdr:to>
    <xdr:graphicFrame>
      <xdr:nvGraphicFramePr>
        <xdr:cNvPr id="6" name="Chart 2"/>
        <xdr:cNvGraphicFramePr/>
      </xdr:nvGraphicFramePr>
      <xdr:xfrm>
        <a:off x="123825" y="28575"/>
        <a:ext cx="7677150" cy="593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12</xdr:col>
      <xdr:colOff>533400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52400" y="85725"/>
        <a:ext cx="76962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23</xdr:row>
      <xdr:rowOff>142875</xdr:rowOff>
    </xdr:from>
    <xdr:to>
      <xdr:col>9</xdr:col>
      <xdr:colOff>0</xdr:colOff>
      <xdr:row>40</xdr:row>
      <xdr:rowOff>95250</xdr:rowOff>
    </xdr:to>
    <xdr:graphicFrame>
      <xdr:nvGraphicFramePr>
        <xdr:cNvPr id="1" name="Chart 1034"/>
        <xdr:cNvGraphicFramePr/>
      </xdr:nvGraphicFramePr>
      <xdr:xfrm>
        <a:off x="828675" y="4171950"/>
        <a:ext cx="6010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800100</xdr:colOff>
      <xdr:row>4</xdr:row>
      <xdr:rowOff>19050</xdr:rowOff>
    </xdr:from>
    <xdr:to>
      <xdr:col>9</xdr:col>
      <xdr:colOff>0</xdr:colOff>
      <xdr:row>20</xdr:row>
      <xdr:rowOff>114300</xdr:rowOff>
    </xdr:to>
    <xdr:graphicFrame>
      <xdr:nvGraphicFramePr>
        <xdr:cNvPr id="2" name="Chart 1035"/>
        <xdr:cNvGraphicFramePr/>
      </xdr:nvGraphicFramePr>
      <xdr:xfrm>
        <a:off x="800100" y="952500"/>
        <a:ext cx="60388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819150</xdr:colOff>
      <xdr:row>43</xdr:row>
      <xdr:rowOff>38100</xdr:rowOff>
    </xdr:from>
    <xdr:to>
      <xdr:col>9</xdr:col>
      <xdr:colOff>9525</xdr:colOff>
      <xdr:row>59</xdr:row>
      <xdr:rowOff>114300</xdr:rowOff>
    </xdr:to>
    <xdr:graphicFrame>
      <xdr:nvGraphicFramePr>
        <xdr:cNvPr id="3" name="Chart 1037"/>
        <xdr:cNvGraphicFramePr/>
      </xdr:nvGraphicFramePr>
      <xdr:xfrm>
        <a:off x="819150" y="7305675"/>
        <a:ext cx="60293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FY09\OCT%202009%20FSR_FINAL%20FOR%20FY2009\FINAL%20FY2009%20-%20OCTOBER%202009%20EXP%20CHART%20EXCL%20CB%20RESERVE_ORG%20GROUP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2csrv04\_divbor$\Pool\RESOURCE%20MANAGEMENT\FSR_FY09\OCT%202009%20FSR_FINAL%20FOR%20FY2009\FINAL%20FY2009%20-%20OCTOBER%202009%20EXP%20CHART%20EXCL%20CB%20RESERVE_ORG%20GROUP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FY11\OCTOBER%202010%20FSR_FINAL%20FOR%202010_DRAFT\FINAL%20FY2010%20-%20OCTOBER%202010%20EXP%20CHART%20EXCL%20CB%20RESERVE_ORG%20GROUPING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CLOSE%20CHARTS%20for%20FINAL%20FY2015%20FSR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2ccifs02\divbor$\Pool\RESOURCE%20MANAGEMENT\FSR_FY2016_DISPLAY\FINAL%20FY2015_OCTOBER%202015_SUBMIT\FY2015%20Year-End%20Commitments%20by%20Organizational%20Grouping%20Graphs_Pages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Chart data"/>
      <sheetName val="Expenditure by UA pie chart"/>
      <sheetName val="Expenditure by UA BAR CHART"/>
      <sheetName val="FY2009 FINAL Budget &amp; YTD EXP."/>
    </sheetNames>
    <sheetDataSet>
      <sheetData sheetId="1">
        <row r="16">
          <cell r="E16" t="str">
            <v>FY07</v>
          </cell>
          <cell r="H16" t="str">
            <v>FY08</v>
          </cell>
          <cell r="K16" t="str">
            <v>FY09</v>
          </cell>
          <cell r="R16" t="str">
            <v>FY06</v>
          </cell>
        </row>
        <row r="17">
          <cell r="B17" t="str">
            <v>SCHOOLS</v>
          </cell>
          <cell r="E17">
            <v>6667.133833579999</v>
          </cell>
          <cell r="H17">
            <v>7158.832714960001</v>
          </cell>
          <cell r="K17">
            <v>7546.15490997</v>
          </cell>
          <cell r="R17">
            <v>5696.1918000000005</v>
          </cell>
        </row>
        <row r="18">
          <cell r="B18" t="str">
            <v>FIELD SUPPORT &amp; CENTRAL ADMIN. *</v>
          </cell>
          <cell r="E18">
            <v>605.1356144999999</v>
          </cell>
          <cell r="H18">
            <v>612.2810042099999</v>
          </cell>
          <cell r="K18">
            <v>591.2978266499999</v>
          </cell>
          <cell r="R18">
            <v>597.089</v>
          </cell>
        </row>
        <row r="19">
          <cell r="B19" t="str">
            <v>CITYWIDE SPEC ED</v>
          </cell>
          <cell r="E19">
            <v>986.9525168900001</v>
          </cell>
          <cell r="H19">
            <v>1080.4022249200002</v>
          </cell>
          <cell r="K19">
            <v>1173.1463638900002</v>
          </cell>
          <cell r="R19">
            <v>936.2488999999999</v>
          </cell>
        </row>
        <row r="20">
          <cell r="B20" t="str">
            <v>FOOD, TRANS, FACILITIES &amp; SAFETY</v>
          </cell>
          <cell r="E20">
            <v>2391.17310123</v>
          </cell>
          <cell r="H20">
            <v>2509.277680370001</v>
          </cell>
          <cell r="K20">
            <v>2553.50915341</v>
          </cell>
          <cell r="R20">
            <v>2205.5787</v>
          </cell>
        </row>
        <row r="21">
          <cell r="B21" t="str">
            <v>FRINGES</v>
          </cell>
          <cell r="E21">
            <v>1988.92621655</v>
          </cell>
          <cell r="H21">
            <v>2216.62824232</v>
          </cell>
          <cell r="K21">
            <v>2314.1423684099996</v>
          </cell>
          <cell r="R21">
            <v>1823.3011999999999</v>
          </cell>
        </row>
        <row r="22">
          <cell r="B22" t="str">
            <v>NON-PUBLIC</v>
          </cell>
          <cell r="E22">
            <v>1122.0852</v>
          </cell>
          <cell r="H22">
            <v>1333.9658241099999</v>
          </cell>
          <cell r="K22">
            <v>1565.04146</v>
          </cell>
          <cell r="R22">
            <v>989.75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Chart data"/>
      <sheetName val="Expenditure by UA pie chart"/>
      <sheetName val="Expenditure by UA BAR CHART"/>
      <sheetName val="FY2009 FINAL Budget &amp; YTD EXP."/>
    </sheetNames>
    <sheetDataSet>
      <sheetData sheetId="1">
        <row r="16">
          <cell r="E16" t="str">
            <v>FY07</v>
          </cell>
          <cell r="H16" t="str">
            <v>FY08</v>
          </cell>
          <cell r="K16" t="str">
            <v>FY09</v>
          </cell>
        </row>
        <row r="17">
          <cell r="B17" t="str">
            <v>SCHOOLS</v>
          </cell>
          <cell r="E17">
            <v>6667.133833579999</v>
          </cell>
          <cell r="H17">
            <v>7158.832714960001</v>
          </cell>
          <cell r="K17">
            <v>7546.15490997</v>
          </cell>
        </row>
        <row r="18">
          <cell r="B18" t="str">
            <v>FIELD SUPPORT &amp; CENTRAL ADMIN. *</v>
          </cell>
          <cell r="E18">
            <v>605.1356144999999</v>
          </cell>
          <cell r="H18">
            <v>612.2810042099999</v>
          </cell>
          <cell r="K18">
            <v>591.2978266499999</v>
          </cell>
        </row>
        <row r="19">
          <cell r="B19" t="str">
            <v>CITYWIDE SPEC ED</v>
          </cell>
          <cell r="E19">
            <v>986.9525168900001</v>
          </cell>
          <cell r="H19">
            <v>1080.4022249200002</v>
          </cell>
          <cell r="K19">
            <v>1173.1463638900002</v>
          </cell>
        </row>
        <row r="20">
          <cell r="B20" t="str">
            <v>FOOD, TRANS, FACILITIES &amp; SAFETY</v>
          </cell>
          <cell r="E20">
            <v>2391.17310123</v>
          </cell>
          <cell r="H20">
            <v>2509.277680370001</v>
          </cell>
          <cell r="K20">
            <v>2553.50915341</v>
          </cell>
        </row>
        <row r="21">
          <cell r="B21" t="str">
            <v>FRINGES</v>
          </cell>
          <cell r="E21">
            <v>1988.92621655</v>
          </cell>
          <cell r="H21">
            <v>2216.62824232</v>
          </cell>
          <cell r="K21">
            <v>2314.1423684099996</v>
          </cell>
        </row>
        <row r="22">
          <cell r="B22" t="str">
            <v>NON-PUBLIC</v>
          </cell>
          <cell r="E22">
            <v>1122.0852</v>
          </cell>
          <cell r="H22">
            <v>1333.9658241099999</v>
          </cell>
          <cell r="K22">
            <v>1565.04146</v>
          </cell>
        </row>
        <row r="23">
          <cell r="B23" t="str">
            <v>CATEGORICAL</v>
          </cell>
          <cell r="E23">
            <v>2107.1730150199996</v>
          </cell>
          <cell r="H23">
            <v>2043.2501280200001</v>
          </cell>
          <cell r="K23">
            <v>1960.0619956900002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Expenditure by UA pie chart"/>
      <sheetName val="Expenditure by UA BAR CHART"/>
      <sheetName val="FY2010 FINAL Budget &amp; YTD EXP."/>
      <sheetName val="PROR YR(s) SOURCE DATA"/>
    </sheetNames>
    <sheetDataSet>
      <sheetData sheetId="0">
        <row r="16">
          <cell r="H16">
            <v>0</v>
          </cell>
          <cell r="J16" t="str">
            <v>FY08</v>
          </cell>
          <cell r="L16" t="str">
            <v>FY09</v>
          </cell>
          <cell r="N16" t="str">
            <v>FY10</v>
          </cell>
        </row>
        <row r="17">
          <cell r="G17" t="str">
            <v>FOOD, TRANS, FACILITIES &amp; SAFETY</v>
          </cell>
          <cell r="H17">
            <v>0</v>
          </cell>
          <cell r="I17" t="str">
            <v>SCHOOLS</v>
          </cell>
          <cell r="J17">
            <v>7158.832714960001</v>
          </cell>
          <cell r="L17">
            <v>7546.15490997</v>
          </cell>
          <cell r="N17">
            <v>7059.198206569999</v>
          </cell>
        </row>
        <row r="18">
          <cell r="G18" t="str">
            <v>FOOD, TRANS, FACILITIES &amp; SAFETY</v>
          </cell>
          <cell r="H18">
            <v>0</v>
          </cell>
          <cell r="I18" t="str">
            <v>FIELD SUPPORT &amp; CENTRAL ADMIN. </v>
          </cell>
          <cell r="J18">
            <v>612.2810042099999</v>
          </cell>
          <cell r="L18">
            <v>591.2978266499999</v>
          </cell>
          <cell r="N18">
            <v>568.36182018</v>
          </cell>
        </row>
        <row r="19">
          <cell r="G19" t="str">
            <v>FOOD, TRANS, FACILITIES &amp; SAFETY</v>
          </cell>
          <cell r="H19">
            <v>0</v>
          </cell>
          <cell r="I19" t="str">
            <v>CITYWIDE SPECIAL ED</v>
          </cell>
          <cell r="J19">
            <v>1080.4022249200002</v>
          </cell>
          <cell r="L19">
            <v>1173.1463638900002</v>
          </cell>
          <cell r="N19">
            <v>1212.55117636</v>
          </cell>
        </row>
        <row r="20">
          <cell r="G20" t="str">
            <v>FOOD, TRANS, FACILITIES &amp; SAFETY</v>
          </cell>
          <cell r="H20">
            <v>0</v>
          </cell>
          <cell r="I20" t="str">
            <v>FOOD, TRANS, FACILITIES &amp; SAFETY</v>
          </cell>
          <cell r="J20">
            <v>2509.277680370001</v>
          </cell>
          <cell r="L20">
            <v>2553.50915341</v>
          </cell>
          <cell r="N20">
            <v>2721.01334119</v>
          </cell>
        </row>
        <row r="21">
          <cell r="G21" t="str">
            <v>FOOD, TRANS, FACILITIES &amp; SAFETY</v>
          </cell>
          <cell r="H21">
            <v>0</v>
          </cell>
          <cell r="I21" t="str">
            <v>FRINGES</v>
          </cell>
          <cell r="J21">
            <v>2216.62824232</v>
          </cell>
          <cell r="L21">
            <v>2314.1423684099996</v>
          </cell>
          <cell r="N21">
            <v>2502.86164257</v>
          </cell>
        </row>
        <row r="22">
          <cell r="G22" t="str">
            <v>FIELD SUPPORT &amp; CENTRAL ADMIN. </v>
          </cell>
          <cell r="H22">
            <v>0</v>
          </cell>
          <cell r="I22" t="str">
            <v>NON-PUBLIC</v>
          </cell>
          <cell r="J22">
            <v>1333.9658241099999</v>
          </cell>
          <cell r="L22">
            <v>1565.04146</v>
          </cell>
          <cell r="N22">
            <v>1901.51529757</v>
          </cell>
        </row>
        <row r="23">
          <cell r="G23" t="str">
            <v>FIELD SUPPORT &amp; CENTRAL ADMIN. </v>
          </cell>
          <cell r="H23">
            <v>0</v>
          </cell>
          <cell r="I23" t="str">
            <v>CATEGORICAL</v>
          </cell>
          <cell r="J23">
            <v>2043.2501280200001</v>
          </cell>
          <cell r="L23">
            <v>1960.0619956900002</v>
          </cell>
          <cell r="N23">
            <v>2328.16506327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bar &amp; source data"/>
      <sheetName val="pie charts"/>
      <sheetName val="bar graph"/>
      <sheetName val="FY2015 FINAL BUDGET &amp; YTD EXP."/>
      <sheetName val="FY2014 FINAL BUDGET &amp; YTD EXP."/>
      <sheetName val="FY2013 FINAL BUDGET &amp; YTD EXP."/>
      <sheetName val="FY2012 FINAL BUDGET &amp; YTD EXP."/>
      <sheetName val="FY2011 FINAL BUDGET &amp; YTD EXP."/>
      <sheetName val="FY2010 FINAL BUDGET &amp; YTD EXP."/>
      <sheetName val="For Ellen Xu-email dated 9.7.11"/>
      <sheetName val="FY13 Final Close-Rosa's file"/>
      <sheetName val="FY12 Final Close-Rosa's file "/>
    </sheetNames>
    <sheetDataSet>
      <sheetData sheetId="0">
        <row r="4">
          <cell r="B4" t="str">
            <v>FY2015</v>
          </cell>
          <cell r="D4" t="str">
            <v>FY2014</v>
          </cell>
          <cell r="F4" t="str">
            <v>FY2013</v>
          </cell>
        </row>
        <row r="5">
          <cell r="A5" t="str">
            <v>Federal</v>
          </cell>
          <cell r="B5">
            <v>1715628.103</v>
          </cell>
          <cell r="D5">
            <v>1713518.951</v>
          </cell>
          <cell r="E5">
            <v>0.07194706246446002</v>
          </cell>
          <cell r="F5">
            <v>1893928.4300000002</v>
          </cell>
        </row>
        <row r="6">
          <cell r="A6" t="str">
            <v>State</v>
          </cell>
          <cell r="B6">
            <v>9191671.451</v>
          </cell>
          <cell r="D6">
            <v>8482040.152</v>
          </cell>
          <cell r="E6">
            <v>0.3561430542019153</v>
          </cell>
          <cell r="F6">
            <v>8127121.35</v>
          </cell>
        </row>
        <row r="7">
          <cell r="A7" t="str">
            <v>City</v>
          </cell>
          <cell r="B7">
            <v>14005853.703</v>
          </cell>
          <cell r="D7">
            <v>13418952.63</v>
          </cell>
          <cell r="E7">
            <v>0.5634336419301382</v>
          </cell>
          <cell r="F7">
            <v>12718420.9828</v>
          </cell>
        </row>
        <row r="8">
          <cell r="A8" t="str">
            <v>Other</v>
          </cell>
          <cell r="B8">
            <v>221469.652</v>
          </cell>
          <cell r="D8">
            <v>201873.43</v>
          </cell>
          <cell r="E8">
            <v>0.008476241403486408</v>
          </cell>
          <cell r="F8">
            <v>174069.01100000006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Expenditure by UA pie chart"/>
      <sheetName val="Expenditure by UA BAR CHART"/>
    </sheetNames>
    <sheetDataSet>
      <sheetData sheetId="0">
        <row r="17">
          <cell r="M17" t="str">
            <v>FY2013</v>
          </cell>
          <cell r="O17" t="str">
            <v>FY2014</v>
          </cell>
          <cell r="Q17" t="str">
            <v>FY2015</v>
          </cell>
        </row>
        <row r="18">
          <cell r="L18" t="str">
            <v>SCHOOLS</v>
          </cell>
          <cell r="M18">
            <v>7245.589147150001</v>
          </cell>
          <cell r="O18">
            <v>7496.710626370001</v>
          </cell>
          <cell r="Q18">
            <v>7765.456124799999</v>
          </cell>
        </row>
        <row r="19">
          <cell r="L19" t="str">
            <v>FIELD SUPPORT &amp; CENTRAL ADMIN. </v>
          </cell>
          <cell r="M19">
            <v>419.42572471</v>
          </cell>
          <cell r="O19">
            <v>489.10085361</v>
          </cell>
          <cell r="Q19">
            <v>606.39008826</v>
          </cell>
        </row>
        <row r="20">
          <cell r="L20" t="str">
            <v>CITYWIDE SPECIAL ED</v>
          </cell>
          <cell r="M20">
            <v>1291.33635704</v>
          </cell>
          <cell r="O20">
            <v>1284.44962916</v>
          </cell>
          <cell r="Q20">
            <v>1379.61762301</v>
          </cell>
        </row>
        <row r="21">
          <cell r="L21" t="str">
            <v>FOOD, TRANS, FACILITIES &amp; SAFETY</v>
          </cell>
          <cell r="M21">
            <v>2907.16513062</v>
          </cell>
          <cell r="O21">
            <v>2981.15637867</v>
          </cell>
          <cell r="Q21">
            <v>3129.0619078800005</v>
          </cell>
        </row>
        <row r="22">
          <cell r="L22" t="str">
            <v>FRINGES</v>
          </cell>
          <cell r="M22">
            <v>2814.367904</v>
          </cell>
          <cell r="O22">
            <v>2837.78381159</v>
          </cell>
          <cell r="Q22">
            <v>2876.58014837</v>
          </cell>
        </row>
        <row r="23">
          <cell r="L23" t="str">
            <v>NON-PUBLIC</v>
          </cell>
          <cell r="M23">
            <v>2489.43314886</v>
          </cell>
          <cell r="O23">
            <v>2571.7729728199997</v>
          </cell>
          <cell r="Q23">
            <v>2859.97892038</v>
          </cell>
        </row>
        <row r="24">
          <cell r="L24" t="str">
            <v>CATEGORICAL</v>
          </cell>
          <cell r="M24">
            <v>1963.2255760300002</v>
          </cell>
          <cell r="O24">
            <v>2032.4835172199998</v>
          </cell>
          <cell r="Q24">
            <v>2252.27666062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B1">
      <pane ySplit="5" topLeftCell="A6" activePane="bottomLeft" state="frozen"/>
      <selection pane="topLeft" activeCell="B1" sqref="B1"/>
      <selection pane="bottomLeft" activeCell="G13" sqref="G13"/>
    </sheetView>
  </sheetViews>
  <sheetFormatPr defaultColWidth="9.140625" defaultRowHeight="12.75"/>
  <cols>
    <col min="1" max="1" width="5.421875" style="0" customWidth="1"/>
    <col min="2" max="2" width="4.140625" style="0" customWidth="1"/>
    <col min="3" max="3" width="80.8515625" style="0" customWidth="1"/>
    <col min="4" max="4" width="9.8515625" style="220" customWidth="1"/>
    <col min="5" max="5" width="1.421875" style="0" customWidth="1"/>
    <col min="6" max="6" width="6.00390625" style="0" customWidth="1"/>
  </cols>
  <sheetData>
    <row r="1" ht="27" customHeight="1" thickBot="1"/>
    <row r="2" spans="2:5" s="216" customFormat="1" ht="27" customHeight="1" thickTop="1">
      <c r="B2" s="898" t="s">
        <v>573</v>
      </c>
      <c r="C2" s="899"/>
      <c r="D2" s="899"/>
      <c r="E2" s="900"/>
    </row>
    <row r="3" spans="2:5" s="216" customFormat="1" ht="27" customHeight="1">
      <c r="B3" s="901" t="s">
        <v>574</v>
      </c>
      <c r="C3" s="902"/>
      <c r="D3" s="902"/>
      <c r="E3" s="903"/>
    </row>
    <row r="4" spans="2:5" s="216" customFormat="1" ht="27" customHeight="1">
      <c r="B4" s="895" t="s">
        <v>311</v>
      </c>
      <c r="C4" s="896"/>
      <c r="D4" s="896"/>
      <c r="E4" s="897"/>
    </row>
    <row r="5" spans="2:5" ht="9" customHeight="1">
      <c r="B5" s="221"/>
      <c r="C5" s="222"/>
      <c r="D5" s="223"/>
      <c r="E5" s="224"/>
    </row>
    <row r="6" spans="2:5" ht="18">
      <c r="B6" s="221"/>
      <c r="C6" s="222"/>
      <c r="D6" s="894" t="s">
        <v>312</v>
      </c>
      <c r="E6" s="224"/>
    </row>
    <row r="7" spans="2:5" ht="18" customHeight="1">
      <c r="B7" s="225"/>
      <c r="C7" s="248" t="s">
        <v>313</v>
      </c>
      <c r="D7" s="249">
        <v>1</v>
      </c>
      <c r="E7" s="226"/>
    </row>
    <row r="8" spans="2:5" ht="18" customHeight="1">
      <c r="B8" s="225"/>
      <c r="C8" s="248"/>
      <c r="D8" s="249"/>
      <c r="E8" s="226"/>
    </row>
    <row r="9" spans="2:5" ht="18" customHeight="1">
      <c r="B9" s="225"/>
      <c r="C9" s="250" t="s">
        <v>322</v>
      </c>
      <c r="D9" s="249"/>
      <c r="E9" s="226"/>
    </row>
    <row r="10" spans="2:5" ht="18" customHeight="1">
      <c r="B10" s="225"/>
      <c r="C10" s="253" t="s">
        <v>422</v>
      </c>
      <c r="D10" s="249">
        <v>2</v>
      </c>
      <c r="E10" s="226"/>
    </row>
    <row r="11" spans="2:5" ht="18" customHeight="1">
      <c r="B11" s="229"/>
      <c r="D11" s="251"/>
      <c r="E11" s="231"/>
    </row>
    <row r="12" spans="2:5" ht="18" customHeight="1">
      <c r="B12" s="229"/>
      <c r="C12" s="250" t="s">
        <v>568</v>
      </c>
      <c r="D12" s="251"/>
      <c r="E12" s="231"/>
    </row>
    <row r="13" spans="2:5" ht="18" customHeight="1">
      <c r="B13" s="229"/>
      <c r="C13" s="253" t="s">
        <v>436</v>
      </c>
      <c r="D13" s="251">
        <v>3</v>
      </c>
      <c r="E13" s="231"/>
    </row>
    <row r="14" spans="2:5" ht="18" customHeight="1">
      <c r="B14" s="229"/>
      <c r="C14" s="253"/>
      <c r="D14" s="251"/>
      <c r="E14" s="231"/>
    </row>
    <row r="15" spans="2:5" ht="18" customHeight="1">
      <c r="B15" s="229"/>
      <c r="C15" s="250" t="s">
        <v>314</v>
      </c>
      <c r="D15" s="251"/>
      <c r="E15" s="231"/>
    </row>
    <row r="16" spans="2:5" ht="18" customHeight="1">
      <c r="B16" s="229"/>
      <c r="C16" s="253" t="s">
        <v>423</v>
      </c>
      <c r="D16" s="251">
        <v>4</v>
      </c>
      <c r="E16" s="231"/>
    </row>
    <row r="17" spans="2:5" ht="18" customHeight="1">
      <c r="B17" s="229"/>
      <c r="C17" s="253" t="s">
        <v>424</v>
      </c>
      <c r="D17" s="251">
        <v>8</v>
      </c>
      <c r="E17" s="231"/>
    </row>
    <row r="18" spans="2:5" ht="18" customHeight="1">
      <c r="B18" s="229"/>
      <c r="C18" s="227"/>
      <c r="D18" s="228"/>
      <c r="E18" s="231"/>
    </row>
    <row r="19" spans="2:5" ht="18" customHeight="1">
      <c r="B19" s="229"/>
      <c r="C19" s="250" t="s">
        <v>438</v>
      </c>
      <c r="D19" s="228"/>
      <c r="E19" s="231"/>
    </row>
    <row r="20" spans="2:5" ht="18" customHeight="1">
      <c r="B20" s="229"/>
      <c r="C20" s="253" t="s">
        <v>436</v>
      </c>
      <c r="D20" s="251">
        <v>11</v>
      </c>
      <c r="E20" s="231"/>
    </row>
    <row r="21" spans="2:5" ht="18" customHeight="1">
      <c r="B21" s="229"/>
      <c r="C21" s="253" t="s">
        <v>437</v>
      </c>
      <c r="D21" s="251">
        <v>12</v>
      </c>
      <c r="E21" s="231"/>
    </row>
    <row r="22" spans="2:5" ht="18" customHeight="1">
      <c r="B22" s="229"/>
      <c r="C22" s="227"/>
      <c r="D22" s="228"/>
      <c r="E22" s="231"/>
    </row>
    <row r="23" spans="2:5" ht="18" customHeight="1">
      <c r="B23" s="229"/>
      <c r="C23" s="250" t="s">
        <v>543</v>
      </c>
      <c r="D23" s="228"/>
      <c r="E23" s="231"/>
    </row>
    <row r="24" spans="2:5" ht="18" customHeight="1">
      <c r="B24" s="229"/>
      <c r="C24" s="252" t="s">
        <v>425</v>
      </c>
      <c r="D24" s="251">
        <v>13</v>
      </c>
      <c r="E24" s="231"/>
    </row>
    <row r="25" spans="2:5" ht="18" customHeight="1">
      <c r="B25" s="229"/>
      <c r="C25" s="252" t="s">
        <v>426</v>
      </c>
      <c r="D25" s="251">
        <v>14</v>
      </c>
      <c r="E25" s="231"/>
    </row>
    <row r="26" spans="2:5" ht="18" customHeight="1">
      <c r="B26" s="229"/>
      <c r="C26" s="252" t="s">
        <v>427</v>
      </c>
      <c r="D26" s="251">
        <v>15</v>
      </c>
      <c r="E26" s="231"/>
    </row>
    <row r="27" spans="2:5" ht="18" customHeight="1">
      <c r="B27" s="229"/>
      <c r="C27" s="230"/>
      <c r="D27" s="228"/>
      <c r="E27" s="231"/>
    </row>
    <row r="28" spans="2:5" s="245" customFormat="1" ht="18" customHeight="1">
      <c r="B28" s="246"/>
      <c r="C28" s="250" t="s">
        <v>407</v>
      </c>
      <c r="D28" s="228"/>
      <c r="E28" s="247"/>
    </row>
    <row r="29" spans="2:5" ht="18" customHeight="1">
      <c r="B29" s="229"/>
      <c r="C29" s="252" t="s">
        <v>428</v>
      </c>
      <c r="D29" s="251">
        <v>16</v>
      </c>
      <c r="E29" s="231"/>
    </row>
    <row r="30" spans="2:5" ht="18" customHeight="1">
      <c r="B30" s="229"/>
      <c r="C30" s="253" t="s">
        <v>429</v>
      </c>
      <c r="D30" s="251">
        <v>17</v>
      </c>
      <c r="E30" s="231"/>
    </row>
    <row r="31" spans="2:5" ht="18" customHeight="1">
      <c r="B31" s="229"/>
      <c r="C31" s="252" t="s">
        <v>430</v>
      </c>
      <c r="D31" s="251">
        <v>18</v>
      </c>
      <c r="E31" s="231"/>
    </row>
    <row r="32" spans="2:5" ht="18" customHeight="1">
      <c r="B32" s="229"/>
      <c r="C32" s="230"/>
      <c r="D32" s="228"/>
      <c r="E32" s="231"/>
    </row>
    <row r="33" spans="2:5" ht="18" customHeight="1">
      <c r="B33" s="229"/>
      <c r="C33" s="522" t="s">
        <v>576</v>
      </c>
      <c r="D33" s="228"/>
      <c r="E33" s="231"/>
    </row>
    <row r="34" spans="2:5" ht="18" customHeight="1">
      <c r="B34" s="229"/>
      <c r="C34" s="252" t="s">
        <v>428</v>
      </c>
      <c r="D34" s="251">
        <v>19</v>
      </c>
      <c r="E34" s="231"/>
    </row>
    <row r="35" spans="2:5" ht="18" customHeight="1">
      <c r="B35" s="229"/>
      <c r="C35" s="253" t="s">
        <v>429</v>
      </c>
      <c r="D35" s="251">
        <v>20</v>
      </c>
      <c r="E35" s="231"/>
    </row>
    <row r="36" spans="2:5" ht="18" customHeight="1">
      <c r="B36" s="229"/>
      <c r="C36" s="252" t="s">
        <v>430</v>
      </c>
      <c r="D36" s="251">
        <v>21</v>
      </c>
      <c r="E36" s="231"/>
    </row>
    <row r="37" spans="2:5" ht="18" customHeight="1">
      <c r="B37" s="229"/>
      <c r="C37" s="523"/>
      <c r="D37" s="251"/>
      <c r="E37" s="231"/>
    </row>
    <row r="38" spans="2:5" ht="18" customHeight="1">
      <c r="B38" s="229"/>
      <c r="C38" s="524" t="s">
        <v>575</v>
      </c>
      <c r="D38" s="251"/>
      <c r="E38" s="231"/>
    </row>
    <row r="39" spans="2:5" s="216" customFormat="1" ht="18" customHeight="1">
      <c r="B39" s="232"/>
      <c r="C39" s="252" t="s">
        <v>425</v>
      </c>
      <c r="D39" s="251">
        <v>22</v>
      </c>
      <c r="E39" s="233"/>
    </row>
    <row r="40" spans="2:5" s="216" customFormat="1" ht="18" customHeight="1">
      <c r="B40" s="525"/>
      <c r="C40" s="252"/>
      <c r="D40" s="526"/>
      <c r="E40" s="527"/>
    </row>
    <row r="41" spans="1:5" s="216" customFormat="1" ht="18" customHeight="1" thickBot="1">
      <c r="A41" s="733"/>
      <c r="B41" s="234"/>
      <c r="C41" s="528"/>
      <c r="D41" s="235"/>
      <c r="E41" s="236"/>
    </row>
    <row r="42" ht="15.75" thickTop="1"/>
  </sheetData>
  <sheetProtection/>
  <mergeCells count="3">
    <mergeCell ref="B4:E4"/>
    <mergeCell ref="B2:E2"/>
    <mergeCell ref="B3:E3"/>
  </mergeCells>
  <printOptions horizontalCentered="1"/>
  <pageMargins left="0" right="0" top="0.65" bottom="0.75" header="0.2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pane ySplit="9" topLeftCell="A22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7109375" style="0" customWidth="1"/>
    <col min="2" max="2" width="37.57421875" style="0" customWidth="1"/>
    <col min="3" max="4" width="13.00390625" style="0" customWidth="1"/>
    <col min="5" max="7" width="13.28125" style="198" customWidth="1"/>
  </cols>
  <sheetData>
    <row r="1" spans="1:7" ht="20.25">
      <c r="A1" s="914" t="s">
        <v>282</v>
      </c>
      <c r="B1" s="914"/>
      <c r="C1" s="914"/>
      <c r="D1" s="914"/>
      <c r="E1" s="914"/>
      <c r="F1" s="914"/>
      <c r="G1" s="914"/>
    </row>
    <row r="2" spans="1:7" ht="18.75">
      <c r="A2" s="915" t="s">
        <v>283</v>
      </c>
      <c r="B2" s="915"/>
      <c r="C2" s="915"/>
      <c r="D2" s="915"/>
      <c r="E2" s="915"/>
      <c r="F2" s="915"/>
      <c r="G2" s="915"/>
    </row>
    <row r="3" spans="1:7" ht="15.75">
      <c r="A3" s="912" t="str">
        <f>+'Claims_1 of 3'!A3:G3</f>
        <v>FY 2015 Year-End Close</v>
      </c>
      <c r="B3" s="912"/>
      <c r="C3" s="912"/>
      <c r="D3" s="912"/>
      <c r="E3" s="912"/>
      <c r="F3" s="912"/>
      <c r="G3" s="912"/>
    </row>
    <row r="4" spans="1:7" ht="12.75">
      <c r="A4" s="916" t="s">
        <v>16</v>
      </c>
      <c r="B4" s="916"/>
      <c r="C4" s="916"/>
      <c r="D4" s="916"/>
      <c r="E4" s="916"/>
      <c r="F4" s="916"/>
      <c r="G4" s="916"/>
    </row>
    <row r="5" spans="1:7" ht="12.75">
      <c r="A5" s="192"/>
      <c r="B5" s="192"/>
      <c r="C5" s="192"/>
      <c r="D5" s="192"/>
      <c r="E5" s="192"/>
      <c r="F5" s="192"/>
      <c r="G5" s="192"/>
    </row>
    <row r="6" spans="1:7" ht="12.75">
      <c r="A6" s="238"/>
      <c r="B6" s="238"/>
      <c r="C6" s="238"/>
      <c r="D6" s="238"/>
      <c r="E6" s="238"/>
      <c r="F6" s="238"/>
      <c r="G6" s="716"/>
    </row>
    <row r="7" spans="1:7" ht="12.75">
      <c r="A7" s="33"/>
      <c r="B7" s="49"/>
      <c r="C7" s="193" t="str">
        <f>+'Claims_1 of 3'!C7</f>
        <v>FY 2015</v>
      </c>
      <c r="D7" s="193" t="s">
        <v>301</v>
      </c>
      <c r="E7" s="51" t="s">
        <v>284</v>
      </c>
      <c r="F7" s="51" t="s">
        <v>285</v>
      </c>
      <c r="G7" s="193" t="s">
        <v>286</v>
      </c>
    </row>
    <row r="8" spans="1:7" ht="12.75">
      <c r="A8" s="33" t="s">
        <v>17</v>
      </c>
      <c r="B8" s="50"/>
      <c r="C8" s="193" t="s">
        <v>3</v>
      </c>
      <c r="D8" s="193" t="s">
        <v>302</v>
      </c>
      <c r="E8" s="51" t="s">
        <v>287</v>
      </c>
      <c r="F8" s="51" t="s">
        <v>288</v>
      </c>
      <c r="G8" s="193" t="s">
        <v>289</v>
      </c>
    </row>
    <row r="9" spans="1:7" ht="12.75">
      <c r="A9" s="34" t="s">
        <v>18</v>
      </c>
      <c r="B9" s="79" t="s">
        <v>19</v>
      </c>
      <c r="C9" s="195" t="s">
        <v>6</v>
      </c>
      <c r="D9" s="195" t="s">
        <v>303</v>
      </c>
      <c r="E9" s="196" t="str">
        <f>+'Claims_1 of 3'!E9</f>
        <v>YTD - 10/14/15</v>
      </c>
      <c r="F9" s="196" t="str">
        <f>+E9</f>
        <v>YTD - 10/14/15</v>
      </c>
      <c r="G9" s="196" t="str">
        <f>+E9</f>
        <v>YTD - 10/14/15</v>
      </c>
    </row>
    <row r="10" spans="1:7" ht="12.75">
      <c r="A10" s="39"/>
      <c r="B10" s="39"/>
      <c r="C10" s="40" t="s">
        <v>2</v>
      </c>
      <c r="D10" s="40" t="s">
        <v>2</v>
      </c>
      <c r="E10" s="57"/>
      <c r="F10" s="57"/>
      <c r="G10" s="201"/>
    </row>
    <row r="11" spans="1:7" ht="12.75">
      <c r="A11" s="893" t="s">
        <v>44</v>
      </c>
      <c r="B11" s="97"/>
      <c r="C11" s="41"/>
      <c r="D11" s="41"/>
      <c r="E11" s="57"/>
      <c r="F11" s="57"/>
      <c r="G11" s="201"/>
    </row>
    <row r="12" spans="1:7" ht="12.75">
      <c r="A12" s="110" t="s">
        <v>477</v>
      </c>
      <c r="B12" s="95" t="s">
        <v>478</v>
      </c>
      <c r="C12" s="804">
        <v>67000</v>
      </c>
      <c r="D12" s="804">
        <v>27450.004</v>
      </c>
      <c r="E12" s="804">
        <v>11721.279</v>
      </c>
      <c r="F12" s="804">
        <v>10310.425</v>
      </c>
      <c r="G12" s="201">
        <f aca="true" t="shared" si="0" ref="G12:G39">+E12/D12</f>
        <v>0.42700463723065396</v>
      </c>
    </row>
    <row r="13" spans="1:7" ht="12.75">
      <c r="A13" s="110">
        <v>13022</v>
      </c>
      <c r="B13" s="95" t="s">
        <v>259</v>
      </c>
      <c r="C13" s="55">
        <v>16691.458</v>
      </c>
      <c r="D13" s="55">
        <v>15725.401</v>
      </c>
      <c r="E13" s="57">
        <v>7342.968</v>
      </c>
      <c r="F13" s="57">
        <v>7342.968</v>
      </c>
      <c r="G13" s="201">
        <f t="shared" si="0"/>
        <v>0.4669494914628886</v>
      </c>
    </row>
    <row r="14" spans="1:7" ht="12.75">
      <c r="A14" s="110" t="s">
        <v>45</v>
      </c>
      <c r="B14" s="95" t="s">
        <v>300</v>
      </c>
      <c r="C14" s="55">
        <v>21038.101</v>
      </c>
      <c r="D14" s="55">
        <v>33643.105</v>
      </c>
      <c r="E14" s="57">
        <v>33643.105</v>
      </c>
      <c r="F14" s="57">
        <v>33643.105</v>
      </c>
      <c r="G14" s="201">
        <f t="shared" si="0"/>
        <v>1</v>
      </c>
    </row>
    <row r="15" spans="1:7" ht="12.75">
      <c r="A15" s="110" t="s">
        <v>46</v>
      </c>
      <c r="B15" s="95" t="s">
        <v>63</v>
      </c>
      <c r="C15" s="55">
        <v>300476.353</v>
      </c>
      <c r="D15" s="55">
        <v>299517.933</v>
      </c>
      <c r="E15" s="57">
        <v>299149.778</v>
      </c>
      <c r="F15" s="57">
        <v>299149.778</v>
      </c>
      <c r="G15" s="201">
        <f t="shared" si="0"/>
        <v>0.9987708415442356</v>
      </c>
    </row>
    <row r="16" spans="1:7" ht="12.75">
      <c r="A16" s="110" t="s">
        <v>47</v>
      </c>
      <c r="B16" s="95" t="s">
        <v>48</v>
      </c>
      <c r="C16" s="55">
        <v>14294.282</v>
      </c>
      <c r="D16" s="55">
        <v>13214.665</v>
      </c>
      <c r="E16" s="57">
        <v>11151.741000000002</v>
      </c>
      <c r="F16" s="57">
        <v>11151.741000000002</v>
      </c>
      <c r="G16" s="201">
        <f t="shared" si="0"/>
        <v>0.8438913131736598</v>
      </c>
    </row>
    <row r="17" spans="1:7" ht="12.75">
      <c r="A17" s="110" t="s">
        <v>49</v>
      </c>
      <c r="B17" s="95" t="s">
        <v>50</v>
      </c>
      <c r="C17" s="55">
        <v>61962.643</v>
      </c>
      <c r="D17" s="55">
        <v>67542.295</v>
      </c>
      <c r="E17" s="57">
        <v>67542.295</v>
      </c>
      <c r="F17" s="57">
        <v>67542.295</v>
      </c>
      <c r="G17" s="201">
        <f t="shared" si="0"/>
        <v>1</v>
      </c>
    </row>
    <row r="18" spans="1:7" ht="12.75">
      <c r="A18" s="113" t="s">
        <v>64</v>
      </c>
      <c r="B18" s="95" t="s">
        <v>51</v>
      </c>
      <c r="C18" s="56">
        <v>730847.053</v>
      </c>
      <c r="D18" s="56">
        <v>665238.698</v>
      </c>
      <c r="E18" s="57">
        <v>84166.392</v>
      </c>
      <c r="F18" s="57">
        <v>84166.392</v>
      </c>
      <c r="G18" s="201">
        <f t="shared" si="0"/>
        <v>0.1265205891555034</v>
      </c>
    </row>
    <row r="19" spans="1:7" ht="12.75">
      <c r="A19" s="110" t="s">
        <v>65</v>
      </c>
      <c r="B19" s="95" t="s">
        <v>52</v>
      </c>
      <c r="C19" s="55">
        <v>15000</v>
      </c>
      <c r="D19" s="55">
        <v>7500.001</v>
      </c>
      <c r="E19" s="57">
        <v>5293.84</v>
      </c>
      <c r="F19" s="57">
        <v>5293.84</v>
      </c>
      <c r="G19" s="201">
        <f t="shared" si="0"/>
        <v>0.7058452392206348</v>
      </c>
    </row>
    <row r="20" spans="1:7" ht="12.75">
      <c r="A20" s="110" t="s">
        <v>53</v>
      </c>
      <c r="B20" s="95" t="s">
        <v>54</v>
      </c>
      <c r="C20" s="55">
        <v>269781.558</v>
      </c>
      <c r="D20" s="55">
        <v>269781.558</v>
      </c>
      <c r="E20" s="57">
        <v>246913.109</v>
      </c>
      <c r="F20" s="57">
        <v>246913.109</v>
      </c>
      <c r="G20" s="201">
        <f t="shared" si="0"/>
        <v>0.915233460843161</v>
      </c>
    </row>
    <row r="21" spans="1:7" ht="12.75">
      <c r="A21" s="110" t="s">
        <v>55</v>
      </c>
      <c r="B21" s="95" t="s">
        <v>298</v>
      </c>
      <c r="C21" s="55">
        <v>5250</v>
      </c>
      <c r="D21" s="55">
        <v>5250</v>
      </c>
      <c r="E21" s="57">
        <v>5250</v>
      </c>
      <c r="F21" s="57">
        <v>5250</v>
      </c>
      <c r="G21" s="201">
        <f t="shared" si="0"/>
        <v>1</v>
      </c>
    </row>
    <row r="22" spans="1:7" ht="12.75">
      <c r="A22" s="113" t="s">
        <v>66</v>
      </c>
      <c r="B22" s="95" t="s">
        <v>56</v>
      </c>
      <c r="C22" s="55">
        <v>18108.427</v>
      </c>
      <c r="D22" s="55">
        <v>25807.4</v>
      </c>
      <c r="E22" s="57">
        <v>24694.216</v>
      </c>
      <c r="F22" s="57">
        <v>24694.216</v>
      </c>
      <c r="G22" s="201">
        <f t="shared" si="0"/>
        <v>0.9568657051853344</v>
      </c>
    </row>
    <row r="23" spans="1:7" ht="12.75">
      <c r="A23" s="110" t="s">
        <v>57</v>
      </c>
      <c r="B23" s="95" t="s">
        <v>251</v>
      </c>
      <c r="C23" s="61">
        <v>108000</v>
      </c>
      <c r="D23" s="61">
        <v>106000</v>
      </c>
      <c r="E23" s="57">
        <v>28574.775</v>
      </c>
      <c r="F23" s="57">
        <v>28574.775</v>
      </c>
      <c r="G23" s="201">
        <f t="shared" si="0"/>
        <v>0.2695733490566038</v>
      </c>
    </row>
    <row r="24" spans="1:7" ht="12.75">
      <c r="A24" s="110" t="s">
        <v>58</v>
      </c>
      <c r="B24" s="95" t="s">
        <v>59</v>
      </c>
      <c r="C24" s="55">
        <v>10200</v>
      </c>
      <c r="D24" s="55">
        <v>8200</v>
      </c>
      <c r="E24" s="57">
        <v>7218.37</v>
      </c>
      <c r="F24" s="57">
        <v>7218.4</v>
      </c>
      <c r="G24" s="201">
        <f t="shared" si="0"/>
        <v>0.8802890243902439</v>
      </c>
    </row>
    <row r="25" spans="1:7" ht="12.75">
      <c r="A25" s="110">
        <v>13928</v>
      </c>
      <c r="B25" s="95" t="s">
        <v>547</v>
      </c>
      <c r="C25" s="55">
        <v>0</v>
      </c>
      <c r="D25" s="55">
        <v>364.092</v>
      </c>
      <c r="E25" s="57">
        <v>364.092</v>
      </c>
      <c r="F25" s="57">
        <v>364.092</v>
      </c>
      <c r="G25" s="201">
        <f t="shared" si="0"/>
        <v>1</v>
      </c>
    </row>
    <row r="26" spans="1:7" ht="12.75">
      <c r="A26" s="110">
        <v>13936</v>
      </c>
      <c r="B26" s="95" t="s">
        <v>299</v>
      </c>
      <c r="C26" s="55">
        <v>1550</v>
      </c>
      <c r="D26" s="55">
        <v>1499.41</v>
      </c>
      <c r="E26" s="57">
        <v>911.4380000000001</v>
      </c>
      <c r="F26" s="57">
        <v>911.438</v>
      </c>
      <c r="G26" s="201">
        <f t="shared" si="0"/>
        <v>0.607864426674492</v>
      </c>
    </row>
    <row r="27" spans="1:7" ht="12.75">
      <c r="A27" s="110">
        <v>13939</v>
      </c>
      <c r="B27" s="95" t="s">
        <v>246</v>
      </c>
      <c r="C27" s="55">
        <v>21011.386</v>
      </c>
      <c r="D27" s="55">
        <v>20085.19</v>
      </c>
      <c r="E27" s="57">
        <v>12547.588</v>
      </c>
      <c r="F27" s="57">
        <v>12547.588</v>
      </c>
      <c r="G27" s="201">
        <f t="shared" si="0"/>
        <v>0.624718411924408</v>
      </c>
    </row>
    <row r="28" spans="1:7" ht="12.75">
      <c r="A28" s="110" t="s">
        <v>247</v>
      </c>
      <c r="B28" s="95" t="s">
        <v>535</v>
      </c>
      <c r="C28" s="55">
        <v>34150.327</v>
      </c>
      <c r="D28" s="55">
        <v>34150.327</v>
      </c>
      <c r="E28" s="57">
        <v>23481.463</v>
      </c>
      <c r="F28" s="57">
        <v>23460.9</v>
      </c>
      <c r="G28" s="201">
        <f t="shared" si="0"/>
        <v>0.6875911612793635</v>
      </c>
    </row>
    <row r="29" spans="1:7" ht="12.75">
      <c r="A29" s="110">
        <v>13942</v>
      </c>
      <c r="B29" s="95" t="s">
        <v>518</v>
      </c>
      <c r="C29" s="55">
        <v>0</v>
      </c>
      <c r="D29" s="55">
        <v>2200</v>
      </c>
      <c r="E29" s="57">
        <v>620</v>
      </c>
      <c r="F29" s="57">
        <v>620</v>
      </c>
      <c r="G29" s="201">
        <f t="shared" si="0"/>
        <v>0.2818181818181818</v>
      </c>
    </row>
    <row r="30" spans="1:7" ht="12.75">
      <c r="A30" s="110">
        <v>13945</v>
      </c>
      <c r="B30" s="95" t="s">
        <v>519</v>
      </c>
      <c r="C30" s="30">
        <v>30000</v>
      </c>
      <c r="D30" s="30">
        <v>52428.83</v>
      </c>
      <c r="E30" s="57">
        <v>42297.793</v>
      </c>
      <c r="F30" s="57">
        <v>42197.8</v>
      </c>
      <c r="G30" s="201">
        <f t="shared" si="0"/>
        <v>0.8067659148602019</v>
      </c>
    </row>
    <row r="31" spans="1:7" ht="12.75">
      <c r="A31" s="565">
        <v>14711</v>
      </c>
      <c r="B31" s="807" t="s">
        <v>590</v>
      </c>
      <c r="C31" s="30">
        <v>178.616</v>
      </c>
      <c r="D31" s="42">
        <v>120</v>
      </c>
      <c r="E31" s="57">
        <v>81.4</v>
      </c>
      <c r="F31" s="57">
        <v>81.4</v>
      </c>
      <c r="G31" s="201">
        <f t="shared" si="0"/>
        <v>0.6783333333333333</v>
      </c>
    </row>
    <row r="32" spans="1:7" ht="12.75">
      <c r="A32" s="565">
        <v>14711</v>
      </c>
      <c r="B32" s="807" t="s">
        <v>511</v>
      </c>
      <c r="C32" s="30">
        <v>1017.139</v>
      </c>
      <c r="D32" s="30">
        <v>917.39</v>
      </c>
      <c r="E32" s="57">
        <v>917.39</v>
      </c>
      <c r="F32" s="57">
        <v>917.4</v>
      </c>
      <c r="G32" s="201">
        <f t="shared" si="0"/>
        <v>1</v>
      </c>
    </row>
    <row r="33" spans="1:7" ht="12.75">
      <c r="A33" s="565">
        <v>14711</v>
      </c>
      <c r="B33" s="807" t="s">
        <v>607</v>
      </c>
      <c r="C33" s="30">
        <v>0</v>
      </c>
      <c r="D33" s="30">
        <v>603.688</v>
      </c>
      <c r="E33" s="57">
        <v>603.687</v>
      </c>
      <c r="F33" s="57">
        <v>603.688</v>
      </c>
      <c r="G33" s="201">
        <f t="shared" si="0"/>
        <v>0.9999983435151933</v>
      </c>
    </row>
    <row r="34" spans="1:7" ht="12.75">
      <c r="A34" s="565">
        <v>14712</v>
      </c>
      <c r="B34" s="98" t="s">
        <v>608</v>
      </c>
      <c r="C34" s="30">
        <v>0</v>
      </c>
      <c r="D34" s="30">
        <v>1311.296</v>
      </c>
      <c r="E34" s="57">
        <v>1311.296</v>
      </c>
      <c r="F34" s="57">
        <v>1311.296</v>
      </c>
      <c r="G34" s="201">
        <f t="shared" si="0"/>
        <v>1</v>
      </c>
    </row>
    <row r="35" spans="1:7" ht="12.75">
      <c r="A35" s="565">
        <v>14714</v>
      </c>
      <c r="B35" s="98" t="s">
        <v>515</v>
      </c>
      <c r="C35" s="30">
        <v>9063.287</v>
      </c>
      <c r="D35" s="30">
        <v>25869.611</v>
      </c>
      <c r="E35" s="57">
        <v>23695.16</v>
      </c>
      <c r="F35" s="57">
        <v>23695.16</v>
      </c>
      <c r="G35" s="201">
        <f t="shared" si="0"/>
        <v>0.915945740351488</v>
      </c>
    </row>
    <row r="36" spans="1:7" ht="12.75">
      <c r="A36" s="565">
        <v>14715</v>
      </c>
      <c r="B36" s="98" t="s">
        <v>546</v>
      </c>
      <c r="C36" s="30">
        <v>0</v>
      </c>
      <c r="D36" s="30">
        <v>362.735</v>
      </c>
      <c r="E36" s="57">
        <v>362.735</v>
      </c>
      <c r="F36" s="57">
        <v>362.735</v>
      </c>
      <c r="G36" s="201">
        <f t="shared" si="0"/>
        <v>1</v>
      </c>
    </row>
    <row r="37" spans="1:7" ht="12.75">
      <c r="A37" s="565">
        <v>14716</v>
      </c>
      <c r="B37" s="98" t="s">
        <v>552</v>
      </c>
      <c r="C37" s="30">
        <v>0</v>
      </c>
      <c r="D37" s="30">
        <v>17798.741</v>
      </c>
      <c r="E37" s="57">
        <v>17798.741</v>
      </c>
      <c r="F37" s="57">
        <v>17798.741</v>
      </c>
      <c r="G37" s="201">
        <f t="shared" si="0"/>
        <v>1</v>
      </c>
    </row>
    <row r="38" spans="1:7" ht="12.75">
      <c r="A38" s="565" t="s">
        <v>606</v>
      </c>
      <c r="B38" s="99" t="s">
        <v>660</v>
      </c>
      <c r="C38" s="30">
        <v>0</v>
      </c>
      <c r="D38" s="30">
        <v>30.592</v>
      </c>
      <c r="E38" s="57">
        <v>30.591</v>
      </c>
      <c r="F38" s="57">
        <v>21.386</v>
      </c>
      <c r="G38" s="201">
        <f t="shared" si="0"/>
        <v>0.9999673117154813</v>
      </c>
    </row>
    <row r="39" spans="1:7" ht="12.75">
      <c r="A39" s="565" t="s">
        <v>536</v>
      </c>
      <c r="B39" s="99" t="s">
        <v>537</v>
      </c>
      <c r="C39" s="30">
        <v>0</v>
      </c>
      <c r="D39" s="30">
        <v>8515.141</v>
      </c>
      <c r="E39" s="57">
        <v>0</v>
      </c>
      <c r="F39" s="57">
        <v>0</v>
      </c>
      <c r="G39" s="201">
        <f t="shared" si="0"/>
        <v>0</v>
      </c>
    </row>
    <row r="40" spans="1:7" ht="12.75">
      <c r="A40" s="565"/>
      <c r="B40" s="98"/>
      <c r="C40" s="30"/>
      <c r="D40" s="30"/>
      <c r="E40" s="57"/>
      <c r="F40" s="57"/>
      <c r="G40" s="201"/>
    </row>
    <row r="41" spans="1:7" ht="12.75">
      <c r="A41" s="845" t="s">
        <v>253</v>
      </c>
      <c r="B41" s="38"/>
      <c r="C41" s="94">
        <f>SUM(C12:C40)</f>
        <v>1735620.6299999997</v>
      </c>
      <c r="D41" s="94">
        <f>SUM(D12:D40)</f>
        <v>1711128.103</v>
      </c>
      <c r="E41" s="94">
        <f>SUM(E12:E40)</f>
        <v>957685.242</v>
      </c>
      <c r="F41" s="94">
        <f>SUM(F12:F40)</f>
        <v>956144.6680000001</v>
      </c>
      <c r="G41" s="202">
        <f>+E41/D41</f>
        <v>0.5596806225793137</v>
      </c>
    </row>
    <row r="42" spans="1:7" ht="12.75">
      <c r="A42" s="39"/>
      <c r="B42" s="39"/>
      <c r="C42" s="718"/>
      <c r="D42" s="718"/>
      <c r="E42" s="718"/>
      <c r="F42" s="718"/>
      <c r="G42" s="555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25" footer="0.25"/>
  <pageSetup horizontalDpi="600" verticalDpi="600" orientation="portrait" scale="85" r:id="rId1"/>
  <headerFooter alignWithMargins="0">
    <oddFooter>&amp;C&amp;14- 9 -</oddFooter>
  </headerFooter>
  <ignoredErrors>
    <ignoredError sqref="A12 A14:A24 A28 A38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pane ySplit="9" topLeftCell="A10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7109375" style="0" customWidth="1"/>
    <col min="2" max="2" width="37.57421875" style="0" customWidth="1"/>
    <col min="3" max="4" width="13.00390625" style="0" customWidth="1"/>
    <col min="5" max="7" width="13.28125" style="198" customWidth="1"/>
  </cols>
  <sheetData>
    <row r="1" spans="1:7" ht="20.25" customHeight="1">
      <c r="A1" s="914" t="s">
        <v>282</v>
      </c>
      <c r="B1" s="914"/>
      <c r="C1" s="914"/>
      <c r="D1" s="914"/>
      <c r="E1" s="914"/>
      <c r="F1" s="914"/>
      <c r="G1" s="914"/>
    </row>
    <row r="2" spans="1:7" ht="18.75" customHeight="1">
      <c r="A2" s="915" t="s">
        <v>283</v>
      </c>
      <c r="B2" s="915"/>
      <c r="C2" s="915"/>
      <c r="D2" s="915"/>
      <c r="E2" s="915"/>
      <c r="F2" s="915"/>
      <c r="G2" s="915"/>
    </row>
    <row r="3" spans="1:7" ht="15.75" customHeight="1">
      <c r="A3" s="912" t="str">
        <f>+'Claims_1 of 3'!A3:G3</f>
        <v>FY 2015 Year-End Close</v>
      </c>
      <c r="B3" s="912"/>
      <c r="C3" s="912"/>
      <c r="D3" s="912"/>
      <c r="E3" s="912"/>
      <c r="F3" s="912"/>
      <c r="G3" s="912"/>
    </row>
    <row r="4" spans="1:7" ht="12.75" customHeight="1">
      <c r="A4" s="916" t="s">
        <v>16</v>
      </c>
      <c r="B4" s="916"/>
      <c r="C4" s="916"/>
      <c r="D4" s="916"/>
      <c r="E4" s="916"/>
      <c r="F4" s="916"/>
      <c r="G4" s="916"/>
    </row>
    <row r="5" spans="1:7" ht="12.75">
      <c r="A5" s="192"/>
      <c r="B5" s="192"/>
      <c r="C5" s="192"/>
      <c r="D5" s="192"/>
      <c r="E5" s="192"/>
      <c r="F5" s="192"/>
      <c r="G5" s="192"/>
    </row>
    <row r="6" spans="1:7" ht="12.75">
      <c r="A6" s="238"/>
      <c r="B6" s="238"/>
      <c r="C6" s="238"/>
      <c r="D6" s="238"/>
      <c r="E6" s="238"/>
      <c r="F6" s="238"/>
      <c r="G6" s="716"/>
    </row>
    <row r="7" spans="1:7" ht="12.75">
      <c r="A7" s="33"/>
      <c r="B7" s="49"/>
      <c r="C7" s="193" t="str">
        <f>+'Claims_2 of 3'!C7</f>
        <v>FY 2015</v>
      </c>
      <c r="D7" s="193" t="s">
        <v>301</v>
      </c>
      <c r="E7" s="51" t="s">
        <v>284</v>
      </c>
      <c r="F7" s="51" t="s">
        <v>285</v>
      </c>
      <c r="G7" s="193" t="s">
        <v>286</v>
      </c>
    </row>
    <row r="8" spans="1:7" ht="12.75">
      <c r="A8" s="33" t="s">
        <v>17</v>
      </c>
      <c r="B8" s="50"/>
      <c r="C8" s="193" t="s">
        <v>3</v>
      </c>
      <c r="D8" s="193" t="s">
        <v>302</v>
      </c>
      <c r="E8" s="51" t="s">
        <v>287</v>
      </c>
      <c r="F8" s="51" t="s">
        <v>288</v>
      </c>
      <c r="G8" s="193" t="s">
        <v>289</v>
      </c>
    </row>
    <row r="9" spans="1:7" ht="12.75">
      <c r="A9" s="34" t="s">
        <v>18</v>
      </c>
      <c r="B9" s="194" t="s">
        <v>19</v>
      </c>
      <c r="C9" s="195" t="s">
        <v>6</v>
      </c>
      <c r="D9" s="195" t="s">
        <v>303</v>
      </c>
      <c r="E9" s="196" t="str">
        <f>+'Claims_1 of 3'!E9</f>
        <v>YTD - 10/14/15</v>
      </c>
      <c r="F9" s="196" t="str">
        <f>+E9</f>
        <v>YTD - 10/14/15</v>
      </c>
      <c r="G9" s="196" t="str">
        <f>+E9</f>
        <v>YTD - 10/14/15</v>
      </c>
    </row>
    <row r="10" spans="1:7" ht="12.75">
      <c r="A10" s="39"/>
      <c r="B10" s="39"/>
      <c r="C10" s="40" t="s">
        <v>2</v>
      </c>
      <c r="D10" s="40" t="s">
        <v>2</v>
      </c>
      <c r="E10" s="57"/>
      <c r="F10" s="57"/>
      <c r="G10" s="201"/>
    </row>
    <row r="11" spans="1:7" ht="12.75">
      <c r="A11" s="203" t="s">
        <v>78</v>
      </c>
      <c r="B11" s="204"/>
      <c r="C11" s="44"/>
      <c r="D11" s="44"/>
      <c r="E11" s="42"/>
      <c r="F11" s="42"/>
      <c r="G11" s="719"/>
    </row>
    <row r="12" spans="1:7" ht="12.75">
      <c r="A12" s="116">
        <v>31938</v>
      </c>
      <c r="B12" s="785" t="s">
        <v>281</v>
      </c>
      <c r="C12" s="804">
        <v>12165</v>
      </c>
      <c r="D12" s="804">
        <v>17214.875</v>
      </c>
      <c r="E12" s="804">
        <v>17214.875</v>
      </c>
      <c r="F12" s="804">
        <v>17214.875</v>
      </c>
      <c r="G12" s="201">
        <f aca="true" t="shared" si="0" ref="G12:G20">+E12/D12</f>
        <v>1</v>
      </c>
    </row>
    <row r="13" spans="1:7" ht="12.75">
      <c r="A13" s="116" t="s">
        <v>79</v>
      </c>
      <c r="B13" s="785" t="s">
        <v>260</v>
      </c>
      <c r="C13" s="215">
        <v>50000</v>
      </c>
      <c r="D13" s="215">
        <v>61407.277</v>
      </c>
      <c r="E13" s="57">
        <v>56357.277</v>
      </c>
      <c r="F13" s="61">
        <v>56356.562</v>
      </c>
      <c r="G13" s="201">
        <f t="shared" si="0"/>
        <v>0.9177621896505849</v>
      </c>
    </row>
    <row r="14" spans="1:7" ht="12.75">
      <c r="A14" s="119">
        <v>41905</v>
      </c>
      <c r="B14" s="785" t="s">
        <v>540</v>
      </c>
      <c r="C14" s="55">
        <v>44489.93</v>
      </c>
      <c r="D14" s="55">
        <v>65788.7</v>
      </c>
      <c r="E14" s="57">
        <v>6294.7</v>
      </c>
      <c r="F14" s="61">
        <v>0.766</v>
      </c>
      <c r="G14" s="201">
        <f t="shared" si="0"/>
        <v>0.0956805652034468</v>
      </c>
    </row>
    <row r="15" spans="1:7" ht="12.75">
      <c r="A15" s="119">
        <v>41911</v>
      </c>
      <c r="B15" s="785" t="s">
        <v>60</v>
      </c>
      <c r="C15" s="55">
        <v>1000</v>
      </c>
      <c r="D15" s="55">
        <v>47.623999999999796</v>
      </c>
      <c r="E15" s="57">
        <v>47.6</v>
      </c>
      <c r="F15" s="61">
        <v>47.6</v>
      </c>
      <c r="G15" s="201">
        <f t="shared" si="0"/>
        <v>0.9994960524105536</v>
      </c>
    </row>
    <row r="16" spans="1:7" ht="12.75">
      <c r="A16" s="825">
        <v>41913</v>
      </c>
      <c r="B16" s="828" t="s">
        <v>549</v>
      </c>
      <c r="C16" s="55">
        <v>0</v>
      </c>
      <c r="D16" s="55">
        <v>23.024</v>
      </c>
      <c r="E16" s="57">
        <v>23</v>
      </c>
      <c r="F16" s="61">
        <v>23</v>
      </c>
      <c r="G16" s="201">
        <f t="shared" si="0"/>
        <v>0.9989576094510076</v>
      </c>
    </row>
    <row r="17" spans="1:7" ht="12.75">
      <c r="A17" s="119">
        <v>41917</v>
      </c>
      <c r="B17" s="785" t="s">
        <v>291</v>
      </c>
      <c r="C17" s="45">
        <v>5096.131</v>
      </c>
      <c r="D17" s="45">
        <v>8294.682</v>
      </c>
      <c r="E17" s="57">
        <v>7849.682000000001</v>
      </c>
      <c r="F17" s="61">
        <v>5794.555</v>
      </c>
      <c r="G17" s="201">
        <f t="shared" si="0"/>
        <v>0.9463511681339923</v>
      </c>
    </row>
    <row r="18" spans="1:7" ht="12.75">
      <c r="A18" s="119">
        <v>44061</v>
      </c>
      <c r="B18" s="101" t="s">
        <v>545</v>
      </c>
      <c r="C18" s="45">
        <v>20000</v>
      </c>
      <c r="D18" s="45">
        <v>23342.295</v>
      </c>
      <c r="E18" s="57">
        <v>21007.263</v>
      </c>
      <c r="F18" s="61">
        <v>16142.295</v>
      </c>
      <c r="G18" s="201">
        <f t="shared" si="0"/>
        <v>0.8999656203470996</v>
      </c>
    </row>
    <row r="19" spans="1:7" ht="12.75">
      <c r="A19" s="119">
        <v>44061</v>
      </c>
      <c r="B19" s="101" t="s">
        <v>661</v>
      </c>
      <c r="C19" s="45">
        <v>0</v>
      </c>
      <c r="D19" s="45">
        <v>45.3</v>
      </c>
      <c r="E19" s="57">
        <v>45.3</v>
      </c>
      <c r="F19" s="61">
        <v>45.3</v>
      </c>
      <c r="G19" s="201">
        <f t="shared" si="0"/>
        <v>1</v>
      </c>
    </row>
    <row r="20" spans="1:7" ht="12.75">
      <c r="A20" s="825">
        <v>45001</v>
      </c>
      <c r="B20" s="826" t="s">
        <v>548</v>
      </c>
      <c r="C20" s="45">
        <v>0</v>
      </c>
      <c r="D20" s="45">
        <v>130003.922</v>
      </c>
      <c r="E20" s="57">
        <v>130003.922</v>
      </c>
      <c r="F20" s="57">
        <v>130003.922</v>
      </c>
      <c r="G20" s="201">
        <f t="shared" si="0"/>
        <v>1</v>
      </c>
    </row>
    <row r="21" spans="1:7" ht="12.75">
      <c r="A21" s="720"/>
      <c r="B21" s="721"/>
      <c r="C21" s="714"/>
      <c r="D21" s="714"/>
      <c r="E21" s="714"/>
      <c r="F21" s="714"/>
      <c r="G21" s="722"/>
    </row>
    <row r="22" spans="1:7" ht="12.75">
      <c r="A22" s="847" t="s">
        <v>254</v>
      </c>
      <c r="B22" s="205"/>
      <c r="C22" s="89">
        <f>SUM(C12:C21)</f>
        <v>132751.061</v>
      </c>
      <c r="D22" s="89">
        <f>SUM(D12:D21)</f>
        <v>306167.699</v>
      </c>
      <c r="E22" s="89">
        <f>SUM(E12:E21)</f>
        <v>238843.619</v>
      </c>
      <c r="F22" s="89">
        <f>SUM(F12:F21)</f>
        <v>225628.875</v>
      </c>
      <c r="G22" s="206">
        <f>+E22/D22</f>
        <v>0.7801071758389508</v>
      </c>
    </row>
    <row r="23" spans="1:7" ht="12.75">
      <c r="A23" s="47"/>
      <c r="B23" s="207"/>
      <c r="C23" s="208"/>
      <c r="D23" s="208"/>
      <c r="E23" s="209"/>
      <c r="F23" s="209"/>
      <c r="G23" s="719"/>
    </row>
    <row r="24" spans="1:7" ht="12.75">
      <c r="A24" s="210"/>
      <c r="B24" s="211"/>
      <c r="C24" s="212"/>
      <c r="D24" s="212"/>
      <c r="E24" s="212"/>
      <c r="F24" s="212"/>
      <c r="G24" s="723"/>
    </row>
    <row r="25" spans="1:7" ht="12.75">
      <c r="A25" s="213" t="s">
        <v>80</v>
      </c>
      <c r="B25" s="213"/>
      <c r="C25" s="214">
        <f>+C22+'Claims_2 of 3'!C41+'Claims_1 of 3'!C50</f>
        <v>11121833.121999998</v>
      </c>
      <c r="D25" s="214">
        <f>+D22+'Claims_2 of 3'!D41+'Claims_1 of 3'!D50</f>
        <v>11208967.250999998</v>
      </c>
      <c r="E25" s="214">
        <f>+E22+'Claims_2 of 3'!E41+'Claims_1 of 3'!E50</f>
        <v>9749518.461000001</v>
      </c>
      <c r="F25" s="214">
        <f>+F22+'Claims_2 of 3'!F41+'Claims_1 of 3'!F50</f>
        <v>9595875.543</v>
      </c>
      <c r="G25" s="206">
        <f>+E25/D25</f>
        <v>0.8697963195610378</v>
      </c>
    </row>
    <row r="26" spans="1:7" ht="12.75">
      <c r="A26" s="724"/>
      <c r="B26" s="724"/>
      <c r="C26" s="725"/>
      <c r="D26" s="725"/>
      <c r="E26" s="726"/>
      <c r="F26" s="727"/>
      <c r="G26" s="728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25" footer="0.25"/>
  <pageSetup horizontalDpi="600" verticalDpi="600" orientation="portrait" scale="85" r:id="rId1"/>
  <headerFooter>
    <oddFooter>&amp;C&amp;12- 10 -</oddFooter>
  </headerFooter>
  <ignoredErrors>
    <ignoredError sqref="A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23:M40"/>
  <sheetViews>
    <sheetView zoomScalePageLayoutView="0" workbookViewId="0" topLeftCell="A1">
      <selection activeCell="G13" sqref="G13"/>
    </sheetView>
  </sheetViews>
  <sheetFormatPr defaultColWidth="9.140625" defaultRowHeight="12.75"/>
  <sheetData>
    <row r="23" ht="12.75">
      <c r="A23" s="81"/>
    </row>
    <row r="24" ht="12.75">
      <c r="A24" s="81"/>
    </row>
    <row r="38" spans="2:13" ht="15">
      <c r="B38" s="917" t="s">
        <v>555</v>
      </c>
      <c r="C38" s="917"/>
      <c r="D38" s="917"/>
      <c r="E38" s="917"/>
      <c r="F38" s="917"/>
      <c r="G38" s="917"/>
      <c r="H38" s="917"/>
      <c r="I38" s="917"/>
      <c r="J38" s="917"/>
      <c r="K38" s="917"/>
      <c r="L38" s="917"/>
      <c r="M38" s="556"/>
    </row>
    <row r="39" spans="2:12" ht="15">
      <c r="B39" s="917" t="s">
        <v>621</v>
      </c>
      <c r="C39" s="917"/>
      <c r="D39" s="917"/>
      <c r="E39" s="917"/>
      <c r="F39" s="917"/>
      <c r="G39" s="917"/>
      <c r="H39" s="917"/>
      <c r="I39" s="917"/>
      <c r="J39" s="917"/>
      <c r="K39" s="917"/>
      <c r="L39" s="917"/>
    </row>
    <row r="40" spans="2:12" ht="15">
      <c r="B40" s="917" t="s">
        <v>553</v>
      </c>
      <c r="C40" s="917"/>
      <c r="D40" s="917"/>
      <c r="E40" s="917"/>
      <c r="F40" s="917"/>
      <c r="G40" s="917"/>
      <c r="H40" s="917"/>
      <c r="I40" s="917"/>
      <c r="J40" s="917"/>
      <c r="K40" s="917"/>
      <c r="L40" s="917"/>
    </row>
  </sheetData>
  <sheetProtection/>
  <mergeCells count="3">
    <mergeCell ref="B38:L38"/>
    <mergeCell ref="B39:L39"/>
    <mergeCell ref="B40:L40"/>
  </mergeCells>
  <printOptions horizontalCentered="1"/>
  <pageMargins left="0" right="0" top="0.75" bottom="0.5" header="0" footer="0"/>
  <pageSetup horizontalDpi="600" verticalDpi="600" orientation="landscape" scale="95" r:id="rId2"/>
  <headerFooter alignWithMargins="0">
    <oddFooter>&amp;C&amp;12- 11 -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pane ySplit="3" topLeftCell="A37" activePane="bottomLeft" state="frozen"/>
      <selection pane="topLeft" activeCell="G13" sqref="G13"/>
      <selection pane="bottomLeft" activeCell="G13" sqref="G13"/>
    </sheetView>
  </sheetViews>
  <sheetFormatPr defaultColWidth="11.421875" defaultRowHeight="12.75"/>
  <cols>
    <col min="1" max="1" width="13.421875" style="0" customWidth="1"/>
    <col min="2" max="8" width="11.421875" style="0" customWidth="1"/>
    <col min="9" max="9" width="9.140625" style="0" customWidth="1"/>
    <col min="10" max="10" width="13.57421875" style="0" customWidth="1"/>
  </cols>
  <sheetData>
    <row r="1" spans="1:10" s="553" customFormat="1" ht="25.5">
      <c r="A1" s="918" t="s">
        <v>462</v>
      </c>
      <c r="B1" s="918"/>
      <c r="C1" s="918"/>
      <c r="D1" s="918"/>
      <c r="E1" s="918"/>
      <c r="F1" s="918"/>
      <c r="G1" s="918"/>
      <c r="H1" s="918"/>
      <c r="I1" s="918"/>
      <c r="J1" s="918"/>
    </row>
    <row r="2" spans="1:10" s="554" customFormat="1" ht="10.5" customHeight="1">
      <c r="A2" s="548"/>
      <c r="B2" s="548"/>
      <c r="C2" s="548"/>
      <c r="D2" s="548"/>
      <c r="E2" s="548"/>
      <c r="F2" s="548"/>
      <c r="G2" s="548"/>
      <c r="H2" s="548"/>
      <c r="I2" s="548"/>
      <c r="J2" s="548"/>
    </row>
    <row r="3" spans="1:10" s="554" customFormat="1" ht="18.75">
      <c r="A3" s="919" t="s">
        <v>620</v>
      </c>
      <c r="B3" s="919"/>
      <c r="C3" s="919"/>
      <c r="D3" s="919"/>
      <c r="E3" s="919"/>
      <c r="F3" s="919"/>
      <c r="G3" s="919"/>
      <c r="H3" s="919"/>
      <c r="I3" s="919"/>
      <c r="J3" s="919"/>
    </row>
    <row r="4" spans="1:10" s="554" customFormat="1" ht="18.75">
      <c r="A4" s="791"/>
      <c r="B4" s="791"/>
      <c r="C4" s="791"/>
      <c r="D4" s="791"/>
      <c r="E4" s="791"/>
      <c r="F4" s="791"/>
      <c r="G4" s="791"/>
      <c r="H4" s="791"/>
      <c r="I4" s="791"/>
      <c r="J4" s="791"/>
    </row>
    <row r="5" spans="1:10" ht="14.25" customHeight="1">
      <c r="A5" s="549"/>
      <c r="B5" s="550"/>
      <c r="C5" s="550"/>
      <c r="D5" s="550"/>
      <c r="E5" s="550"/>
      <c r="F5" s="550"/>
      <c r="G5" s="550"/>
      <c r="H5" s="550"/>
      <c r="I5" s="550"/>
      <c r="J5" s="550"/>
    </row>
    <row r="24" ht="12.75">
      <c r="G24" t="s">
        <v>2</v>
      </c>
    </row>
    <row r="40" spans="2:6" ht="12.75">
      <c r="B40" s="551"/>
      <c r="C40" s="551"/>
      <c r="D40" s="551"/>
      <c r="E40" s="551"/>
      <c r="F40" s="551"/>
    </row>
    <row r="67" spans="2:10" ht="15">
      <c r="B67" s="793" t="s">
        <v>554</v>
      </c>
      <c r="C67" s="793"/>
      <c r="D67" s="793"/>
      <c r="E67" s="793"/>
      <c r="F67" s="793"/>
      <c r="G67" s="793"/>
      <c r="H67" s="793"/>
      <c r="I67" s="793"/>
      <c r="J67" s="792"/>
    </row>
    <row r="68" spans="2:10" ht="15">
      <c r="B68" s="793" t="s">
        <v>662</v>
      </c>
      <c r="C68" s="793"/>
      <c r="D68" s="793"/>
      <c r="E68" s="793"/>
      <c r="F68" s="793"/>
      <c r="G68" s="793"/>
      <c r="H68" s="793"/>
      <c r="I68" s="793"/>
      <c r="J68" s="792"/>
    </row>
    <row r="69" spans="2:10" ht="15">
      <c r="B69" s="793" t="s">
        <v>622</v>
      </c>
      <c r="C69" s="793"/>
      <c r="D69" s="793"/>
      <c r="E69" s="793"/>
      <c r="F69" s="793"/>
      <c r="G69" s="793"/>
      <c r="H69" s="793"/>
      <c r="I69" s="793"/>
      <c r="J69" s="245"/>
    </row>
  </sheetData>
  <sheetProtection/>
  <mergeCells count="2">
    <mergeCell ref="A1:J1"/>
    <mergeCell ref="A3:J3"/>
  </mergeCells>
  <printOptions horizontalCentered="1"/>
  <pageMargins left="0" right="0" top="0.5" bottom="0.5" header="0" footer="0.25"/>
  <pageSetup horizontalDpi="600" verticalDpi="600" orientation="portrait" scale="80" r:id="rId2"/>
  <headerFooter alignWithMargins="0">
    <oddFooter>&amp;C&amp;14- 12 -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pane ySplit="14" topLeftCell="A77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4.421875" style="126" customWidth="1"/>
    <col min="2" max="2" width="49.421875" style="121" customWidth="1"/>
    <col min="3" max="4" width="14.7109375" style="126" customWidth="1"/>
    <col min="5" max="6" width="12.7109375" style="126" customWidth="1"/>
    <col min="7" max="16384" width="9.140625" style="121" customWidth="1"/>
  </cols>
  <sheetData>
    <row r="1" spans="1:6" ht="20.25">
      <c r="A1" s="920" t="s">
        <v>183</v>
      </c>
      <c r="B1" s="920"/>
      <c r="C1" s="920"/>
      <c r="D1" s="920"/>
      <c r="E1" s="920"/>
      <c r="F1" s="920"/>
    </row>
    <row r="2" spans="1:6" ht="18.75">
      <c r="A2" s="921" t="s">
        <v>408</v>
      </c>
      <c r="B2" s="921"/>
      <c r="C2" s="921"/>
      <c r="D2" s="921"/>
      <c r="E2" s="921"/>
      <c r="F2" s="921"/>
    </row>
    <row r="3" spans="1:6" ht="18.75">
      <c r="A3" s="921" t="s">
        <v>409</v>
      </c>
      <c r="B3" s="921"/>
      <c r="C3" s="921"/>
      <c r="D3" s="921"/>
      <c r="E3" s="921"/>
      <c r="F3" s="921"/>
    </row>
    <row r="4" spans="1:6" ht="15.75">
      <c r="A4" s="922" t="s">
        <v>623</v>
      </c>
      <c r="B4" s="922"/>
      <c r="C4" s="922"/>
      <c r="D4" s="922"/>
      <c r="E4" s="922"/>
      <c r="F4" s="922"/>
    </row>
    <row r="5" spans="1:6" ht="12">
      <c r="A5" s="923" t="s">
        <v>16</v>
      </c>
      <c r="B5" s="923"/>
      <c r="C5" s="923"/>
      <c r="D5" s="923"/>
      <c r="E5" s="923"/>
      <c r="F5" s="923"/>
    </row>
    <row r="6" spans="1:6" ht="12">
      <c r="A6" s="33"/>
      <c r="B6" s="33"/>
      <c r="C6" s="33"/>
      <c r="D6" s="33"/>
      <c r="E6" s="33"/>
      <c r="F6" s="33"/>
    </row>
    <row r="7" spans="1:6" ht="12.75" customHeight="1">
      <c r="A7" s="33"/>
      <c r="B7" s="33"/>
      <c r="C7" s="33"/>
      <c r="D7" s="33"/>
      <c r="E7" s="33"/>
      <c r="F7" s="33"/>
    </row>
    <row r="8" spans="1:6" ht="12.75">
      <c r="A8" s="6"/>
      <c r="B8" s="143" t="s">
        <v>2</v>
      </c>
      <c r="C8" s="144"/>
      <c r="D8" s="144"/>
      <c r="E8" s="144"/>
      <c r="F8" s="144"/>
    </row>
    <row r="9" spans="1:6" ht="6" customHeight="1">
      <c r="A9" s="140" t="s">
        <v>2</v>
      </c>
      <c r="B9" s="142"/>
      <c r="C9" s="141"/>
      <c r="D9" s="141"/>
      <c r="E9" s="141"/>
      <c r="F9" s="141"/>
    </row>
    <row r="10" spans="1:6" ht="12" customHeight="1">
      <c r="A10" s="140"/>
      <c r="B10" s="142"/>
      <c r="C10" s="140" t="s">
        <v>624</v>
      </c>
      <c r="D10" s="140" t="s">
        <v>624</v>
      </c>
      <c r="E10" s="141"/>
      <c r="F10" s="141"/>
    </row>
    <row r="11" spans="1:6" ht="12">
      <c r="A11" s="140"/>
      <c r="B11" s="142"/>
      <c r="C11" s="124" t="s">
        <v>421</v>
      </c>
      <c r="D11" s="124" t="s">
        <v>421</v>
      </c>
      <c r="E11" s="475"/>
      <c r="F11" s="141"/>
    </row>
    <row r="12" spans="1:6" ht="12">
      <c r="A12" s="122"/>
      <c r="B12" s="123"/>
      <c r="C12" s="124" t="s">
        <v>410</v>
      </c>
      <c r="D12" s="124" t="s">
        <v>410</v>
      </c>
      <c r="E12" s="124" t="s">
        <v>411</v>
      </c>
      <c r="F12" s="50" t="s">
        <v>88</v>
      </c>
    </row>
    <row r="13" spans="1:6" ht="12">
      <c r="A13" s="125" t="s">
        <v>5</v>
      </c>
      <c r="B13" s="125"/>
      <c r="C13" s="124" t="s">
        <v>6</v>
      </c>
      <c r="D13" s="521" t="s">
        <v>304</v>
      </c>
      <c r="E13" s="124" t="s">
        <v>412</v>
      </c>
      <c r="F13" s="50" t="s">
        <v>90</v>
      </c>
    </row>
    <row r="14" spans="4:5" ht="6" customHeight="1">
      <c r="D14" s="127"/>
      <c r="E14" s="127"/>
    </row>
    <row r="15" spans="1:6" ht="11.25">
      <c r="A15" s="128"/>
      <c r="B15" s="129"/>
      <c r="C15" s="128"/>
      <c r="D15" s="130"/>
      <c r="E15" s="130"/>
      <c r="F15" s="128"/>
    </row>
    <row r="16" spans="1:6" s="134" customFormat="1" ht="12.75" customHeight="1">
      <c r="A16" s="131">
        <v>401</v>
      </c>
      <c r="B16" s="135" t="s">
        <v>264</v>
      </c>
      <c r="C16" s="520">
        <f>+'City Approved'!I14/1000</f>
        <v>5713487.721</v>
      </c>
      <c r="D16" s="520">
        <v>5713487.72053</v>
      </c>
      <c r="E16" s="476">
        <f>D16/C16</f>
        <v>0.9999999999177385</v>
      </c>
      <c r="F16" s="520">
        <f>C16-D16</f>
        <v>0.00047000031918287277</v>
      </c>
    </row>
    <row r="17" spans="1:6" s="134" customFormat="1" ht="3.75" customHeight="1">
      <c r="A17" s="131"/>
      <c r="B17" s="135"/>
      <c r="C17" s="185"/>
      <c r="D17" s="185"/>
      <c r="E17" s="476"/>
      <c r="F17" s="136"/>
    </row>
    <row r="18" spans="1:6" ht="12.75" customHeight="1">
      <c r="A18" s="131">
        <v>402</v>
      </c>
      <c r="B18" s="11" t="s">
        <v>265</v>
      </c>
      <c r="C18" s="136">
        <f>+'City Approved'!I15/1000</f>
        <v>661302.313</v>
      </c>
      <c r="D18" s="136">
        <v>660052.1085</v>
      </c>
      <c r="E18" s="145">
        <f>D18/C18</f>
        <v>0.99810948113227</v>
      </c>
      <c r="F18" s="477">
        <f>C18-D18</f>
        <v>1250.2044999999925</v>
      </c>
    </row>
    <row r="19" spans="1:6" s="134" customFormat="1" ht="3.75" customHeight="1">
      <c r="A19" s="131"/>
      <c r="B19" s="135"/>
      <c r="C19" s="185"/>
      <c r="D19" s="185"/>
      <c r="E19" s="476"/>
      <c r="F19" s="136"/>
    </row>
    <row r="20" spans="1:6" s="134" customFormat="1" ht="12.75" customHeight="1">
      <c r="A20" s="131">
        <v>403</v>
      </c>
      <c r="B20" s="70" t="s">
        <v>262</v>
      </c>
      <c r="C20" s="185">
        <f>'City Approved'!I16/1000</f>
        <v>1387735.005</v>
      </c>
      <c r="D20" s="185">
        <v>1387735.0049700001</v>
      </c>
      <c r="E20" s="476">
        <f>D20/C20</f>
        <v>0.9999999999783822</v>
      </c>
      <c r="F20" s="136">
        <f>C20-D20</f>
        <v>2.9999762773513794E-05</v>
      </c>
    </row>
    <row r="21" spans="1:6" s="134" customFormat="1" ht="3.75" customHeight="1">
      <c r="A21" s="131"/>
      <c r="B21" s="70"/>
      <c r="C21" s="185"/>
      <c r="D21" s="185"/>
      <c r="E21" s="476"/>
      <c r="F21" s="136"/>
    </row>
    <row r="22" spans="1:6" ht="12.75" customHeight="1">
      <c r="A22" s="131">
        <v>404</v>
      </c>
      <c r="B22" s="18" t="s">
        <v>263</v>
      </c>
      <c r="C22" s="136">
        <f>+'City Approved'!I17/1000</f>
        <v>4016.257</v>
      </c>
      <c r="D22" s="136">
        <v>4181.2908</v>
      </c>
      <c r="E22" s="145">
        <f>D22/C22</f>
        <v>1.0410914440983232</v>
      </c>
      <c r="F22" s="477">
        <f>C22-D22</f>
        <v>-165.0337999999997</v>
      </c>
    </row>
    <row r="23" spans="1:6" ht="3" customHeight="1">
      <c r="A23" s="131"/>
      <c r="B23" s="18"/>
      <c r="C23" s="136"/>
      <c r="D23" s="136"/>
      <c r="E23" s="145"/>
      <c r="F23" s="477"/>
    </row>
    <row r="24" spans="1:6" ht="12.75" customHeight="1">
      <c r="A24" s="131">
        <v>406</v>
      </c>
      <c r="B24" s="218" t="s">
        <v>541</v>
      </c>
      <c r="C24" s="136">
        <f>+'City Approved'!I18/1000</f>
        <v>1309014.866</v>
      </c>
      <c r="D24" s="136">
        <v>1308880.1918499998</v>
      </c>
      <c r="E24" s="145">
        <f>D24/C24</f>
        <v>0.9998971179369325</v>
      </c>
      <c r="F24" s="477">
        <f>C24-D24</f>
        <v>134.6741500000935</v>
      </c>
    </row>
    <row r="25" spans="1:6" s="134" customFormat="1" ht="3.75" customHeight="1">
      <c r="A25" s="131"/>
      <c r="B25" s="70"/>
      <c r="C25" s="185"/>
      <c r="D25" s="185"/>
      <c r="E25" s="476"/>
      <c r="F25" s="136"/>
    </row>
    <row r="26" spans="1:6" s="134" customFormat="1" ht="12.75" customHeight="1">
      <c r="A26" s="131">
        <v>415</v>
      </c>
      <c r="B26" s="18" t="s">
        <v>320</v>
      </c>
      <c r="C26" s="185">
        <f>+'City Approved'!I19/1000</f>
        <v>231346.188</v>
      </c>
      <c r="D26" s="185">
        <v>231346.18738999998</v>
      </c>
      <c r="E26" s="476">
        <f>D26/C26</f>
        <v>0.9999999973632588</v>
      </c>
      <c r="F26" s="136">
        <f>C26-D26</f>
        <v>0.0006100000173319131</v>
      </c>
    </row>
    <row r="27" spans="1:6" s="134" customFormat="1" ht="3.75" customHeight="1">
      <c r="A27" s="131"/>
      <c r="B27" s="62"/>
      <c r="C27" s="185"/>
      <c r="D27" s="185"/>
      <c r="E27" s="476"/>
      <c r="F27" s="136"/>
    </row>
    <row r="28" spans="1:6" ht="12.75" customHeight="1">
      <c r="A28" s="131">
        <v>416</v>
      </c>
      <c r="B28" s="18" t="s">
        <v>321</v>
      </c>
      <c r="C28" s="136">
        <f>+'City Approved'!I20/1000</f>
        <v>39739.462</v>
      </c>
      <c r="D28" s="136">
        <v>39739.461670000004</v>
      </c>
      <c r="E28" s="145">
        <f>D28/C28</f>
        <v>0.9999999916959118</v>
      </c>
      <c r="F28" s="477">
        <f>C28-D28</f>
        <v>0.0003299999953014776</v>
      </c>
    </row>
    <row r="29" spans="1:6" s="134" customFormat="1" ht="3.75" customHeight="1">
      <c r="A29" s="131"/>
      <c r="B29" s="62"/>
      <c r="C29" s="185"/>
      <c r="D29" s="185"/>
      <c r="E29" s="476"/>
      <c r="F29" s="136"/>
    </row>
    <row r="30" spans="1:6" s="134" customFormat="1" ht="12.75" customHeight="1">
      <c r="A30" s="131">
        <v>421</v>
      </c>
      <c r="B30" s="70" t="s">
        <v>261</v>
      </c>
      <c r="C30" s="185">
        <f>+'City Approved'!I21/1000</f>
        <v>875993.815</v>
      </c>
      <c r="D30" s="185">
        <v>875993.8140599999</v>
      </c>
      <c r="E30" s="476">
        <f>D30/C30</f>
        <v>0.999999998926933</v>
      </c>
      <c r="F30" s="136">
        <f>C30-D30</f>
        <v>0.0009400000562891364</v>
      </c>
    </row>
    <row r="31" spans="1:6" s="134" customFormat="1" ht="3.75" customHeight="1">
      <c r="A31" s="131"/>
      <c r="B31" s="70"/>
      <c r="C31" s="185"/>
      <c r="D31" s="185"/>
      <c r="E31" s="476"/>
      <c r="F31" s="136"/>
    </row>
    <row r="32" spans="1:6" ht="12.75" customHeight="1">
      <c r="A32" s="131">
        <v>422</v>
      </c>
      <c r="B32" s="18" t="s">
        <v>266</v>
      </c>
      <c r="C32" s="136">
        <f>+'City Approved'!I22/1000</f>
        <v>21665.327</v>
      </c>
      <c r="D32" s="136">
        <v>20439.042559999998</v>
      </c>
      <c r="E32" s="145">
        <f>D32/C32</f>
        <v>0.9433987569169853</v>
      </c>
      <c r="F32" s="136">
        <f>C32-D32</f>
        <v>1226.284440000003</v>
      </c>
    </row>
    <row r="33" spans="1:6" s="134" customFormat="1" ht="3.75" customHeight="1">
      <c r="A33" s="131"/>
      <c r="B33" s="70"/>
      <c r="C33" s="185"/>
      <c r="D33" s="185"/>
      <c r="E33" s="476"/>
      <c r="F33" s="136"/>
    </row>
    <row r="34" spans="1:6" s="134" customFormat="1" ht="12.75" customHeight="1">
      <c r="A34" s="131">
        <v>423</v>
      </c>
      <c r="B34" s="18" t="s">
        <v>267</v>
      </c>
      <c r="C34" s="185">
        <f>'City Approved'!I23/1000</f>
        <v>252463.497</v>
      </c>
      <c r="D34" s="185">
        <v>252463.49613999997</v>
      </c>
      <c r="E34" s="476">
        <f>D34/C34</f>
        <v>0.9999999965935669</v>
      </c>
      <c r="F34" s="136">
        <f>C34-D34</f>
        <v>0.0008600000292062759</v>
      </c>
    </row>
    <row r="35" spans="1:6" s="134" customFormat="1" ht="3.75" customHeight="1">
      <c r="A35" s="131"/>
      <c r="B35" s="18"/>
      <c r="C35" s="185"/>
      <c r="D35" s="185"/>
      <c r="E35" s="476"/>
      <c r="F35" s="136"/>
    </row>
    <row r="36" spans="1:6" ht="12.75" customHeight="1">
      <c r="A36" s="131">
        <v>424</v>
      </c>
      <c r="B36" s="18" t="s">
        <v>268</v>
      </c>
      <c r="C36" s="185">
        <f>'City Approved'!I24/1000</f>
        <v>230721.271</v>
      </c>
      <c r="D36" s="136">
        <v>230721.27025</v>
      </c>
      <c r="E36" s="145">
        <f>D36/C36</f>
        <v>0.9999999967493244</v>
      </c>
      <c r="F36" s="477">
        <f>C36-D36</f>
        <v>0.000750000006519258</v>
      </c>
    </row>
    <row r="37" spans="1:6" s="134" customFormat="1" ht="3.75" customHeight="1">
      <c r="A37" s="131"/>
      <c r="B37" s="18"/>
      <c r="C37" s="185"/>
      <c r="D37" s="185"/>
      <c r="E37" s="476"/>
      <c r="F37" s="136"/>
    </row>
    <row r="38" spans="1:6" s="134" customFormat="1" ht="12.75" customHeight="1">
      <c r="A38" s="131">
        <v>435</v>
      </c>
      <c r="B38" s="18" t="s">
        <v>269</v>
      </c>
      <c r="C38" s="185">
        <f>'City Approved'!I25/1000</f>
        <v>433993.385</v>
      </c>
      <c r="D38" s="185">
        <v>433937.38509</v>
      </c>
      <c r="E38" s="476">
        <f>D38/C38</f>
        <v>0.9998709659825805</v>
      </c>
      <c r="F38" s="136">
        <f>C38-D38</f>
        <v>55.99991000001319</v>
      </c>
    </row>
    <row r="39" spans="1:6" s="134" customFormat="1" ht="3.75" customHeight="1">
      <c r="A39" s="131"/>
      <c r="B39" s="18"/>
      <c r="C39" s="185"/>
      <c r="D39" s="185"/>
      <c r="E39" s="476"/>
      <c r="F39" s="136"/>
    </row>
    <row r="40" spans="1:6" ht="12.75" customHeight="1">
      <c r="A40" s="131">
        <v>436</v>
      </c>
      <c r="B40" s="18" t="s">
        <v>474</v>
      </c>
      <c r="C40" s="185">
        <f>'City Approved'!I26/1000</f>
        <v>436189.139</v>
      </c>
      <c r="D40" s="136">
        <v>436291.84798</v>
      </c>
      <c r="E40" s="145">
        <f>D40/C40</f>
        <v>1.0002354689074457</v>
      </c>
      <c r="F40" s="477">
        <f>C40-D40</f>
        <v>-102.70897999999579</v>
      </c>
    </row>
    <row r="41" spans="1:6" s="134" customFormat="1" ht="3.75" customHeight="1">
      <c r="A41" s="131"/>
      <c r="B41" s="18"/>
      <c r="C41" s="185"/>
      <c r="D41" s="185"/>
      <c r="E41" s="476"/>
      <c r="F41" s="136"/>
    </row>
    <row r="42" spans="1:6" ht="12.75" customHeight="1">
      <c r="A42" s="131">
        <v>438</v>
      </c>
      <c r="B42" s="18" t="s">
        <v>271</v>
      </c>
      <c r="C42" s="185">
        <f>'City Approved'!I27/1000</f>
        <v>1143837.838</v>
      </c>
      <c r="D42" s="136">
        <v>1143837.83742</v>
      </c>
      <c r="E42" s="145">
        <f>D42/C42</f>
        <v>0.9999999994929352</v>
      </c>
      <c r="F42" s="477">
        <f>C42-D42</f>
        <v>0.0005799999926239252</v>
      </c>
    </row>
    <row r="43" spans="1:6" s="134" customFormat="1" ht="3.75" customHeight="1">
      <c r="A43" s="131"/>
      <c r="B43" s="18"/>
      <c r="C43" s="185"/>
      <c r="D43" s="185"/>
      <c r="E43" s="476"/>
      <c r="F43" s="136"/>
    </row>
    <row r="44" spans="1:6" s="134" customFormat="1" ht="12.75" customHeight="1">
      <c r="A44" s="131">
        <v>439</v>
      </c>
      <c r="B44" s="18" t="s">
        <v>272</v>
      </c>
      <c r="C44" s="185">
        <f>'City Approved'!I28/1000</f>
        <v>214745.629</v>
      </c>
      <c r="D44" s="185">
        <v>214702.79345</v>
      </c>
      <c r="E44" s="476">
        <f>D44/C44</f>
        <v>0.9998005288852702</v>
      </c>
      <c r="F44" s="136">
        <f>C44-D44</f>
        <v>42.83554999998887</v>
      </c>
    </row>
    <row r="45" spans="1:6" s="134" customFormat="1" ht="3.75" customHeight="1">
      <c r="A45" s="131"/>
      <c r="B45" s="18"/>
      <c r="C45" s="185"/>
      <c r="D45" s="185"/>
      <c r="E45" s="476"/>
      <c r="F45" s="136"/>
    </row>
    <row r="46" spans="1:6" ht="12.75" customHeight="1">
      <c r="A46" s="131">
        <v>440</v>
      </c>
      <c r="B46" s="18" t="s">
        <v>273</v>
      </c>
      <c r="C46" s="185">
        <f>'City Approved'!I29/1000</f>
        <v>231628.38</v>
      </c>
      <c r="D46" s="136">
        <v>231615.30643</v>
      </c>
      <c r="E46" s="145">
        <f>D46/C46</f>
        <v>0.9999435579957862</v>
      </c>
      <c r="F46" s="477">
        <f>C46-D46</f>
        <v>13.073570000007749</v>
      </c>
    </row>
    <row r="47" spans="1:6" s="134" customFormat="1" ht="3.75" customHeight="1">
      <c r="A47" s="131"/>
      <c r="B47" s="18"/>
      <c r="C47" s="185"/>
      <c r="D47" s="185"/>
      <c r="E47" s="476"/>
      <c r="F47" s="136"/>
    </row>
    <row r="48" spans="1:6" ht="12.75" customHeight="1">
      <c r="A48" s="131">
        <v>442</v>
      </c>
      <c r="B48" s="18" t="s">
        <v>413</v>
      </c>
      <c r="C48" s="185">
        <f>'City Approved'!I30/1000</f>
        <v>330580.522</v>
      </c>
      <c r="D48" s="136">
        <v>330580.52173000004</v>
      </c>
      <c r="E48" s="145">
        <f>D48/C48</f>
        <v>0.9999999991832551</v>
      </c>
      <c r="F48" s="477">
        <f>C48-D48</f>
        <v>0.00026999996043741703</v>
      </c>
    </row>
    <row r="49" spans="1:6" s="134" customFormat="1" ht="3.75" customHeight="1">
      <c r="A49" s="131"/>
      <c r="B49" s="18"/>
      <c r="C49" s="185"/>
      <c r="D49" s="185"/>
      <c r="E49" s="476"/>
      <c r="F49" s="136"/>
    </row>
    <row r="50" spans="1:6" ht="12.75" customHeight="1">
      <c r="A50" s="131">
        <v>444</v>
      </c>
      <c r="B50" s="18" t="s">
        <v>275</v>
      </c>
      <c r="C50" s="185">
        <f>'City Approved'!I31/1000</f>
        <v>468219.757</v>
      </c>
      <c r="D50" s="136">
        <v>468100.13778</v>
      </c>
      <c r="E50" s="145">
        <f>D50/C50</f>
        <v>0.9997445233392832</v>
      </c>
      <c r="F50" s="477">
        <f>C50-D50</f>
        <v>119.61921999999322</v>
      </c>
    </row>
    <row r="51" spans="1:6" s="134" customFormat="1" ht="3.75" customHeight="1">
      <c r="A51" s="131"/>
      <c r="B51" s="18"/>
      <c r="C51" s="185"/>
      <c r="D51" s="185"/>
      <c r="E51" s="476"/>
      <c r="F51" s="136"/>
    </row>
    <row r="52" spans="1:6" s="134" customFormat="1" ht="12.75" customHeight="1">
      <c r="A52" s="131">
        <v>453</v>
      </c>
      <c r="B52" s="18" t="s">
        <v>277</v>
      </c>
      <c r="C52" s="185">
        <f>'City Approved'!I32/1000</f>
        <v>163947.287</v>
      </c>
      <c r="D52" s="185">
        <v>163947.28696</v>
      </c>
      <c r="E52" s="476">
        <f>D52/C52</f>
        <v>0.999999999756019</v>
      </c>
      <c r="F52" s="136">
        <f>C52-D52</f>
        <v>4.0000013541430235E-05</v>
      </c>
    </row>
    <row r="53" spans="1:6" s="134" customFormat="1" ht="3.75" customHeight="1">
      <c r="A53" s="131"/>
      <c r="B53" s="18"/>
      <c r="C53" s="185"/>
      <c r="D53" s="185"/>
      <c r="E53" s="476"/>
      <c r="F53" s="136"/>
    </row>
    <row r="54" spans="1:6" ht="12.75" customHeight="1">
      <c r="A54" s="131">
        <v>454</v>
      </c>
      <c r="B54" s="18" t="s">
        <v>276</v>
      </c>
      <c r="C54" s="185">
        <f>'City Approved'!I33/1000</f>
        <v>171357.153</v>
      </c>
      <c r="D54" s="136">
        <v>171357.15224</v>
      </c>
      <c r="E54" s="145">
        <f>D54/C54</f>
        <v>0.999999995564819</v>
      </c>
      <c r="F54" s="477">
        <f>C54-D54</f>
        <v>0.0007599999953527004</v>
      </c>
    </row>
    <row r="55" spans="1:6" s="134" customFormat="1" ht="3.75" customHeight="1">
      <c r="A55" s="131"/>
      <c r="B55" s="18"/>
      <c r="C55" s="185"/>
      <c r="D55" s="185"/>
      <c r="E55" s="476"/>
      <c r="F55" s="136"/>
    </row>
    <row r="56" spans="1:6" s="134" customFormat="1" ht="12.75" customHeight="1">
      <c r="A56" s="131">
        <v>461</v>
      </c>
      <c r="B56" s="18" t="s">
        <v>278</v>
      </c>
      <c r="C56" s="185">
        <f>'City Approved'!I34/1000</f>
        <v>2876566.447</v>
      </c>
      <c r="D56" s="237">
        <v>2876580.14837</v>
      </c>
      <c r="E56" s="476">
        <f>D56/C56</f>
        <v>1.0000047630987332</v>
      </c>
      <c r="F56" s="136">
        <f>C56-D56</f>
        <v>-13.70136999990791</v>
      </c>
    </row>
    <row r="57" spans="1:6" s="134" customFormat="1" ht="3.75" customHeight="1">
      <c r="A57" s="131"/>
      <c r="B57" s="18"/>
      <c r="C57" s="185"/>
      <c r="D57" s="185"/>
      <c r="E57" s="476"/>
      <c r="F57" s="136"/>
    </row>
    <row r="58" spans="1:6" ht="12.75" customHeight="1">
      <c r="A58" s="131">
        <v>470</v>
      </c>
      <c r="B58" s="18" t="s">
        <v>280</v>
      </c>
      <c r="C58" s="185">
        <f>'City Approved'!I35/1000</f>
        <v>845306.104</v>
      </c>
      <c r="D58" s="136">
        <v>844399.42273</v>
      </c>
      <c r="E58" s="145">
        <f>D58/C58</f>
        <v>0.9989273929695887</v>
      </c>
      <c r="F58" s="477">
        <f>C58-D58</f>
        <v>906.6812700000592</v>
      </c>
    </row>
    <row r="59" spans="1:6" ht="3.75" customHeight="1">
      <c r="A59" s="131"/>
      <c r="B59" s="18"/>
      <c r="C59" s="136"/>
      <c r="D59" s="478"/>
      <c r="E59" s="145"/>
      <c r="F59" s="477"/>
    </row>
    <row r="60" spans="1:6" ht="12.75" customHeight="1">
      <c r="A60" s="131">
        <v>472</v>
      </c>
      <c r="B60" s="18" t="s">
        <v>542</v>
      </c>
      <c r="C60" s="185">
        <f>'City Approved'!I36/1000</f>
        <v>641613.685</v>
      </c>
      <c r="D60" s="136">
        <v>641613.3083500001</v>
      </c>
      <c r="E60" s="145">
        <f>D60/C60</f>
        <v>0.9999994129645162</v>
      </c>
      <c r="F60" s="477">
        <f>C60-D60</f>
        <v>0.3766499999910593</v>
      </c>
    </row>
    <row r="61" spans="1:6" ht="3.75" customHeight="1">
      <c r="A61" s="131"/>
      <c r="B61" s="18"/>
      <c r="C61" s="136"/>
      <c r="D61" s="478"/>
      <c r="E61" s="145"/>
      <c r="F61" s="477"/>
    </row>
    <row r="62" spans="1:6" ht="12.75" customHeight="1">
      <c r="A62" s="131">
        <v>474</v>
      </c>
      <c r="B62" s="18" t="s">
        <v>279</v>
      </c>
      <c r="C62" s="185">
        <f>'City Approved'!I37/1000</f>
        <v>65085.998</v>
      </c>
      <c r="D62" s="136">
        <v>65085.99745</v>
      </c>
      <c r="E62" s="145">
        <f>D62/C62</f>
        <v>0.9999999915496418</v>
      </c>
      <c r="F62" s="477">
        <f>C62-D62</f>
        <v>0.0005499999970197678</v>
      </c>
    </row>
    <row r="63" spans="1:6" s="134" customFormat="1" ht="3.75" customHeight="1">
      <c r="A63" s="138"/>
      <c r="B63" s="18"/>
      <c r="C63" s="185"/>
      <c r="D63" s="185"/>
      <c r="E63" s="476"/>
      <c r="F63" s="136"/>
    </row>
    <row r="64" spans="1:6" s="134" customFormat="1" ht="14.25" customHeight="1">
      <c r="A64" s="479" t="s">
        <v>663</v>
      </c>
      <c r="B64" s="480"/>
      <c r="C64" s="481">
        <f>SUM(C16:C63)</f>
        <v>18750557.045999996</v>
      </c>
      <c r="D64" s="482">
        <f>SUM(D16:D63)</f>
        <v>18747088.7347</v>
      </c>
      <c r="E64" s="483">
        <f>D64/C64</f>
        <v>0.9998150288926625</v>
      </c>
      <c r="F64" s="482">
        <f>SUM(F16:F63)</f>
        <v>3468.3113000003846</v>
      </c>
    </row>
    <row r="65" spans="1:6" s="134" customFormat="1" ht="3.75" customHeight="1">
      <c r="A65" s="131"/>
      <c r="B65" s="137"/>
      <c r="C65" s="136"/>
      <c r="D65" s="139"/>
      <c r="E65" s="139"/>
      <c r="F65" s="132"/>
    </row>
    <row r="66" spans="1:6" s="134" customFormat="1" ht="12.75" customHeight="1">
      <c r="A66" s="131">
        <v>481</v>
      </c>
      <c r="B66" s="18" t="s">
        <v>415</v>
      </c>
      <c r="C66" s="185">
        <f>'City Approved'!I43/1000</f>
        <v>1242412.765</v>
      </c>
      <c r="D66" s="185">
        <v>1242412.76406</v>
      </c>
      <c r="E66" s="484">
        <f>D66/C66</f>
        <v>0.9999999992434077</v>
      </c>
      <c r="F66" s="181">
        <f>C66-D66</f>
        <v>0.0009399999398738146</v>
      </c>
    </row>
    <row r="67" spans="1:6" s="134" customFormat="1" ht="4.5" customHeight="1">
      <c r="A67" s="131"/>
      <c r="B67" s="18"/>
      <c r="C67" s="185"/>
      <c r="E67" s="185"/>
      <c r="F67" s="181"/>
    </row>
    <row r="68" spans="1:6" ht="12.75" customHeight="1">
      <c r="A68" s="131">
        <v>482</v>
      </c>
      <c r="B68" s="18" t="s">
        <v>464</v>
      </c>
      <c r="C68" s="185">
        <f>'City Approved'!I44/1000</f>
        <v>1010615.5</v>
      </c>
      <c r="D68" s="185">
        <v>1009863.8965599999</v>
      </c>
      <c r="E68" s="145">
        <f>D68/C68</f>
        <v>0.9992562913986575</v>
      </c>
      <c r="F68" s="485">
        <f>C68-D68</f>
        <v>751.6034400000935</v>
      </c>
    </row>
    <row r="69" spans="1:6" s="134" customFormat="1" ht="3.75" customHeight="1">
      <c r="A69" s="131"/>
      <c r="B69" s="18"/>
      <c r="C69" s="185"/>
      <c r="D69" s="185"/>
      <c r="E69" s="185"/>
      <c r="F69" s="181"/>
    </row>
    <row r="70" spans="1:6" s="134" customFormat="1" ht="14.25" customHeight="1">
      <c r="A70" s="486" t="s">
        <v>416</v>
      </c>
      <c r="B70" s="487"/>
      <c r="C70" s="488">
        <f>SUM(C66:C69)</f>
        <v>2253028.2649999997</v>
      </c>
      <c r="D70" s="488">
        <f>SUM(D66:D69)</f>
        <v>2252276.6606199997</v>
      </c>
      <c r="E70" s="489">
        <f>D70/C70</f>
        <v>0.9996664025961521</v>
      </c>
      <c r="F70" s="488">
        <f>SUM(F66:F69)</f>
        <v>751.6043800000334</v>
      </c>
    </row>
    <row r="71" spans="1:6" ht="3.75" customHeight="1" thickBot="1">
      <c r="A71" s="131"/>
      <c r="B71" s="70"/>
      <c r="C71" s="48"/>
      <c r="D71" s="133"/>
      <c r="E71" s="133"/>
      <c r="F71" s="48"/>
    </row>
    <row r="72" spans="1:6" ht="14.25" customHeight="1" thickBot="1" thickTop="1">
      <c r="A72" s="490" t="s">
        <v>252</v>
      </c>
      <c r="B72" s="491"/>
      <c r="C72" s="492">
        <f>+C70+C64</f>
        <v>21003585.310999997</v>
      </c>
      <c r="D72" s="492">
        <f>+D70+D64</f>
        <v>20999365.395320002</v>
      </c>
      <c r="E72" s="493">
        <f>D72/C72</f>
        <v>0.9997990859361623</v>
      </c>
      <c r="F72" s="492">
        <f>+F70+F64</f>
        <v>4219.915680000418</v>
      </c>
    </row>
    <row r="73" spans="1:6" ht="12.75" thickTop="1">
      <c r="A73" s="131"/>
      <c r="B73" s="18"/>
      <c r="C73" s="798"/>
      <c r="D73" s="799"/>
      <c r="E73" s="145"/>
      <c r="F73" s="477"/>
    </row>
    <row r="74" spans="1:6" ht="12">
      <c r="A74" s="131"/>
      <c r="B74" s="18"/>
      <c r="C74" s="796"/>
      <c r="D74" s="795"/>
      <c r="E74" s="797"/>
      <c r="F74" s="477"/>
    </row>
    <row r="75" spans="1:6" ht="12">
      <c r="A75" s="131"/>
      <c r="B75" s="18"/>
      <c r="C75" s="136"/>
      <c r="D75" s="478"/>
      <c r="E75" s="145"/>
      <c r="F75" s="477"/>
    </row>
    <row r="76" spans="1:6" ht="12.75">
      <c r="A76" s="495" t="s">
        <v>417</v>
      </c>
      <c r="B76" s="496"/>
      <c r="C76" s="68"/>
      <c r="D76" s="497"/>
      <c r="E76" s="498"/>
      <c r="F76" s="499"/>
    </row>
    <row r="77" spans="1:6" ht="12.75" customHeight="1">
      <c r="A77" s="500" t="s">
        <v>418</v>
      </c>
      <c r="B77" s="501"/>
      <c r="C77" s="830">
        <f>+C16+C20+C26+C30+C34+C38+C44+C52+C56+C66</f>
        <v>13392691.739000002</v>
      </c>
      <c r="D77" s="830">
        <f>+D16+D20+D26+D30+D34+D38+D44+D52+D56+D66</f>
        <v>13392606.601019997</v>
      </c>
      <c r="E77" s="503">
        <f>+D77/C77</f>
        <v>0.9999936429523157</v>
      </c>
      <c r="F77" s="831">
        <f>+C77-D77</f>
        <v>85.13798000477254</v>
      </c>
    </row>
    <row r="78" spans="1:6" ht="12.75" customHeight="1">
      <c r="A78" s="504" t="s">
        <v>293</v>
      </c>
      <c r="B78" s="505"/>
      <c r="C78" s="502">
        <f>+C18+C22+C24+C28+C32+C36+C40+C42+C46+C48+C50+C54+C58+C60+C62+C68</f>
        <v>7610893.572000001</v>
      </c>
      <c r="D78" s="502">
        <f>+D18+D22+D24+D28+D32+D36+D40+D42+D46+D48+D50+D54+D58+D60+D62+D68</f>
        <v>7606758.794299999</v>
      </c>
      <c r="E78" s="503">
        <f>+D78/C78</f>
        <v>0.9994567290081137</v>
      </c>
      <c r="F78" s="511">
        <f>+C78-D78</f>
        <v>4134.777700001374</v>
      </c>
    </row>
    <row r="79" spans="1:6" ht="13.5" customHeight="1" thickBot="1">
      <c r="A79" s="506" t="s">
        <v>252</v>
      </c>
      <c r="B79" s="507"/>
      <c r="C79" s="509">
        <f>SUM(C77:C78)</f>
        <v>21003585.311000004</v>
      </c>
      <c r="D79" s="509">
        <f>SUM(D77:D78)</f>
        <v>20999365.39532</v>
      </c>
      <c r="E79" s="508">
        <f>+D79/C79</f>
        <v>0.9997990859361617</v>
      </c>
      <c r="F79" s="510">
        <f>SUM(F77:F78)</f>
        <v>4219.915680006146</v>
      </c>
    </row>
    <row r="80" spans="1:6" ht="13.5" thickTop="1">
      <c r="A80" s="131"/>
      <c r="B80" s="146"/>
      <c r="C80" s="798"/>
      <c r="D80" s="799"/>
      <c r="E80" s="136"/>
      <c r="F80" s="800"/>
    </row>
    <row r="81" spans="1:5" ht="15">
      <c r="A81" s="557" t="s">
        <v>397</v>
      </c>
      <c r="B81" s="801" t="s">
        <v>625</v>
      </c>
      <c r="C81" s="802"/>
      <c r="D81" s="802"/>
      <c r="E81" s="802"/>
    </row>
    <row r="82" ht="12">
      <c r="A82" s="532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" right="0" top="0.75" bottom="0.5" header="0" footer="0.25"/>
  <pageSetup horizontalDpi="600" verticalDpi="600" orientation="portrait" scale="87" r:id="rId1"/>
  <headerFooter alignWithMargins="0">
    <oddFooter>&amp;C&amp;12- 13 -</oddFooter>
  </headerFooter>
  <ignoredErrors>
    <ignoredError sqref="E64 E70 E72 E7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E49"/>
  <sheetViews>
    <sheetView zoomScalePageLayoutView="0" workbookViewId="0" topLeftCell="A1">
      <pane ySplit="12" topLeftCell="A40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3.8515625" style="161" customWidth="1"/>
    <col min="2" max="2" width="43.140625" style="161" customWidth="1"/>
    <col min="3" max="5" width="14.7109375" style="161" customWidth="1"/>
    <col min="6" max="16384" width="9.140625" style="161" customWidth="1"/>
  </cols>
  <sheetData>
    <row r="1" spans="1:5" s="148" customFormat="1" ht="20.25">
      <c r="A1" s="904" t="s">
        <v>85</v>
      </c>
      <c r="B1" s="904"/>
      <c r="C1" s="904"/>
      <c r="D1" s="904"/>
      <c r="E1" s="904"/>
    </row>
    <row r="2" spans="1:5" s="148" customFormat="1" ht="18.75">
      <c r="A2" s="921" t="s">
        <v>185</v>
      </c>
      <c r="B2" s="921"/>
      <c r="C2" s="921"/>
      <c r="D2" s="921"/>
      <c r="E2" s="921"/>
    </row>
    <row r="3" spans="1:5" s="148" customFormat="1" ht="15.75">
      <c r="A3" s="924" t="s">
        <v>623</v>
      </c>
      <c r="B3" s="924"/>
      <c r="C3" s="924"/>
      <c r="D3" s="924"/>
      <c r="E3" s="924"/>
    </row>
    <row r="4" spans="1:5" s="148" customFormat="1" ht="12.75">
      <c r="A4" s="925" t="s">
        <v>16</v>
      </c>
      <c r="B4" s="925"/>
      <c r="C4" s="925"/>
      <c r="D4" s="925"/>
      <c r="E4" s="925"/>
    </row>
    <row r="5" spans="1:5" s="148" customFormat="1" ht="12.75">
      <c r="A5" s="4"/>
      <c r="B5" s="4"/>
      <c r="C5" s="4"/>
      <c r="D5" s="773"/>
      <c r="E5" s="4"/>
    </row>
    <row r="6" spans="3:5" s="148" customFormat="1" ht="12.75">
      <c r="C6" s="88"/>
      <c r="D6" s="88"/>
      <c r="E6" s="88"/>
    </row>
    <row r="7" spans="1:5" s="148" customFormat="1" ht="12.75">
      <c r="A7" s="150"/>
      <c r="B7" s="150"/>
      <c r="C7" s="151"/>
      <c r="D7" s="151"/>
      <c r="E7" s="151"/>
    </row>
    <row r="8" spans="1:5" s="148" customFormat="1" ht="12.75">
      <c r="A8" s="770"/>
      <c r="B8" s="768"/>
      <c r="C8" s="772" t="s">
        <v>624</v>
      </c>
      <c r="D8" s="772" t="s">
        <v>624</v>
      </c>
      <c r="E8" s="771"/>
    </row>
    <row r="9" spans="3:5" s="155" customFormat="1" ht="12.75">
      <c r="C9" s="124" t="s">
        <v>421</v>
      </c>
      <c r="D9" s="124" t="s">
        <v>421</v>
      </c>
      <c r="E9" s="153"/>
    </row>
    <row r="10" spans="1:5" s="155" customFormat="1" ht="12.75">
      <c r="A10" s="156"/>
      <c r="B10" s="156"/>
      <c r="C10" s="124" t="s">
        <v>410</v>
      </c>
      <c r="D10" s="124" t="s">
        <v>410</v>
      </c>
      <c r="E10" s="153" t="s">
        <v>88</v>
      </c>
    </row>
    <row r="11" spans="1:5" s="155" customFormat="1" ht="12.75">
      <c r="A11" s="156"/>
      <c r="B11" s="768" t="s">
        <v>186</v>
      </c>
      <c r="C11" s="124" t="s">
        <v>6</v>
      </c>
      <c r="D11" s="521" t="s">
        <v>304</v>
      </c>
      <c r="E11" s="153" t="s">
        <v>90</v>
      </c>
    </row>
    <row r="12" spans="1:5" s="155" customFormat="1" ht="6" customHeight="1">
      <c r="A12" s="157"/>
      <c r="B12" s="157"/>
      <c r="C12" s="158"/>
      <c r="D12" s="158"/>
      <c r="E12" s="158"/>
    </row>
    <row r="13" spans="2:5" s="148" customFormat="1" ht="12.75">
      <c r="B13" s="150"/>
      <c r="C13" s="151"/>
      <c r="D13" s="151"/>
      <c r="E13" s="88"/>
    </row>
    <row r="14" spans="1:5" s="148" customFormat="1" ht="12.75">
      <c r="A14" s="159" t="s">
        <v>187</v>
      </c>
      <c r="B14" s="642" t="s">
        <v>188</v>
      </c>
      <c r="C14" s="706">
        <v>642616.707</v>
      </c>
      <c r="D14" s="706">
        <v>665996.8876799999</v>
      </c>
      <c r="E14" s="518">
        <f aca="true" t="shared" si="0" ref="E14:E45">C14-D14</f>
        <v>-23380.180679999874</v>
      </c>
    </row>
    <row r="15" spans="1:5" s="148" customFormat="1" ht="12.75">
      <c r="A15" s="159" t="s">
        <v>189</v>
      </c>
      <c r="B15" s="642" t="s">
        <v>190</v>
      </c>
      <c r="C15" s="707">
        <v>8013089.198</v>
      </c>
      <c r="D15" s="707">
        <v>7902876.813189999</v>
      </c>
      <c r="E15" s="255">
        <f t="shared" si="0"/>
        <v>110212.38481000066</v>
      </c>
    </row>
    <row r="16" spans="1:5" s="148" customFormat="1" ht="12.75">
      <c r="A16" s="159" t="s">
        <v>191</v>
      </c>
      <c r="B16" s="642" t="s">
        <v>192</v>
      </c>
      <c r="C16" s="707">
        <v>1453.117</v>
      </c>
      <c r="D16" s="707">
        <v>1919.24078</v>
      </c>
      <c r="E16" s="255">
        <f t="shared" si="0"/>
        <v>-466.1237800000001</v>
      </c>
    </row>
    <row r="17" spans="1:5" s="148" customFormat="1" ht="12.75">
      <c r="A17" s="159" t="s">
        <v>193</v>
      </c>
      <c r="B17" s="642" t="s">
        <v>194</v>
      </c>
      <c r="C17" s="707">
        <v>544195.526</v>
      </c>
      <c r="D17" s="707">
        <v>622531.8391900001</v>
      </c>
      <c r="E17" s="255">
        <f t="shared" si="0"/>
        <v>-78336.31319000013</v>
      </c>
    </row>
    <row r="18" spans="1:5" s="148" customFormat="1" ht="12.75">
      <c r="A18" s="159" t="s">
        <v>195</v>
      </c>
      <c r="B18" s="642" t="s">
        <v>196</v>
      </c>
      <c r="C18" s="707">
        <v>425857.936</v>
      </c>
      <c r="D18" s="707">
        <v>429911.34406</v>
      </c>
      <c r="E18" s="255">
        <f t="shared" si="0"/>
        <v>-4053.408059999987</v>
      </c>
    </row>
    <row r="19" spans="1:5" s="148" customFormat="1" ht="12.75">
      <c r="A19" s="159" t="s">
        <v>197</v>
      </c>
      <c r="B19" s="642" t="s">
        <v>198</v>
      </c>
      <c r="C19" s="707">
        <v>2000</v>
      </c>
      <c r="D19" s="707">
        <v>2191.38839</v>
      </c>
      <c r="E19" s="255">
        <f t="shared" si="0"/>
        <v>-191.38839000000007</v>
      </c>
    </row>
    <row r="20" spans="1:5" s="148" customFormat="1" ht="12.75">
      <c r="A20" s="159" t="s">
        <v>199</v>
      </c>
      <c r="B20" s="642" t="s">
        <v>200</v>
      </c>
      <c r="C20" s="707">
        <v>645.669</v>
      </c>
      <c r="D20" s="707">
        <v>562.34018</v>
      </c>
      <c r="E20" s="255">
        <f t="shared" si="0"/>
        <v>83.32881999999995</v>
      </c>
    </row>
    <row r="21" spans="1:5" s="148" customFormat="1" ht="12.75">
      <c r="A21" s="159" t="s">
        <v>201</v>
      </c>
      <c r="B21" s="642" t="s">
        <v>202</v>
      </c>
      <c r="C21" s="707">
        <v>13124.781</v>
      </c>
      <c r="D21" s="707">
        <v>18644.04561</v>
      </c>
      <c r="E21" s="255">
        <f t="shared" si="0"/>
        <v>-5519.26461</v>
      </c>
    </row>
    <row r="22" spans="1:5" s="148" customFormat="1" ht="12.75">
      <c r="A22" s="159" t="s">
        <v>203</v>
      </c>
      <c r="B22" s="642" t="s">
        <v>204</v>
      </c>
      <c r="C22" s="707">
        <v>93.705</v>
      </c>
      <c r="D22" s="707">
        <v>133.23731</v>
      </c>
      <c r="E22" s="255">
        <f t="shared" si="0"/>
        <v>-39.53231000000001</v>
      </c>
    </row>
    <row r="23" spans="1:5" s="148" customFormat="1" ht="12.75">
      <c r="A23" s="159" t="s">
        <v>205</v>
      </c>
      <c r="B23" s="642" t="s">
        <v>206</v>
      </c>
      <c r="C23" s="707">
        <v>0</v>
      </c>
      <c r="D23" s="707">
        <v>14.26482</v>
      </c>
      <c r="E23" s="255">
        <f t="shared" si="0"/>
        <v>-14.26482</v>
      </c>
    </row>
    <row r="24" spans="1:5" s="148" customFormat="1" ht="12.75">
      <c r="A24" s="159" t="s">
        <v>207</v>
      </c>
      <c r="B24" s="642" t="s">
        <v>208</v>
      </c>
      <c r="C24" s="707">
        <v>27617.394</v>
      </c>
      <c r="D24" s="707">
        <v>20928.890079999997</v>
      </c>
      <c r="E24" s="255">
        <f t="shared" si="0"/>
        <v>6688.503920000003</v>
      </c>
    </row>
    <row r="25" spans="1:5" s="148" customFormat="1" ht="12.75">
      <c r="A25" s="159" t="s">
        <v>209</v>
      </c>
      <c r="B25" s="642" t="s">
        <v>210</v>
      </c>
      <c r="C25" s="707">
        <v>11347.933</v>
      </c>
      <c r="D25" s="707">
        <v>19178.437790000004</v>
      </c>
      <c r="E25" s="255">
        <f t="shared" si="0"/>
        <v>-7830.504790000003</v>
      </c>
    </row>
    <row r="26" spans="1:5" s="148" customFormat="1" ht="12.75">
      <c r="A26" s="159" t="s">
        <v>211</v>
      </c>
      <c r="B26" s="642" t="s">
        <v>212</v>
      </c>
      <c r="C26" s="707">
        <v>12524.993</v>
      </c>
      <c r="D26" s="707">
        <v>119326.28792</v>
      </c>
      <c r="E26" s="255">
        <f t="shared" si="0"/>
        <v>-106801.29492</v>
      </c>
    </row>
    <row r="27" spans="1:5" s="148" customFormat="1" ht="12.75">
      <c r="A27" s="159" t="s">
        <v>213</v>
      </c>
      <c r="B27" s="642" t="s">
        <v>214</v>
      </c>
      <c r="C27" s="707">
        <v>75</v>
      </c>
      <c r="D27" s="707">
        <v>42.22047</v>
      </c>
      <c r="E27" s="255">
        <f t="shared" si="0"/>
        <v>32.77953</v>
      </c>
    </row>
    <row r="28" spans="1:5" s="148" customFormat="1" ht="12.75">
      <c r="A28" s="173" t="s">
        <v>626</v>
      </c>
      <c r="B28" s="642" t="s">
        <v>627</v>
      </c>
      <c r="C28" s="707">
        <v>0</v>
      </c>
      <c r="D28" s="707">
        <v>2384.40062</v>
      </c>
      <c r="E28" s="255">
        <f t="shared" si="0"/>
        <v>-2384.40062</v>
      </c>
    </row>
    <row r="29" spans="1:5" s="148" customFormat="1" ht="12.75">
      <c r="A29" s="829" t="s">
        <v>215</v>
      </c>
      <c r="B29" s="643" t="s">
        <v>216</v>
      </c>
      <c r="C29" s="707">
        <v>0</v>
      </c>
      <c r="D29" s="707">
        <v>6.36337</v>
      </c>
      <c r="E29" s="256">
        <f t="shared" si="0"/>
        <v>-6.36337</v>
      </c>
    </row>
    <row r="30" spans="1:5" s="148" customFormat="1" ht="12.75">
      <c r="A30" s="159" t="s">
        <v>217</v>
      </c>
      <c r="B30" s="642" t="s">
        <v>218</v>
      </c>
      <c r="C30" s="707">
        <v>0.428</v>
      </c>
      <c r="D30" s="707">
        <v>0</v>
      </c>
      <c r="E30" s="255">
        <f t="shared" si="0"/>
        <v>0.428</v>
      </c>
    </row>
    <row r="31" spans="1:5" s="148" customFormat="1" ht="12.75">
      <c r="A31" s="239" t="s">
        <v>315</v>
      </c>
      <c r="B31" s="643" t="s">
        <v>479</v>
      </c>
      <c r="C31" s="707">
        <v>8064.408</v>
      </c>
      <c r="D31" s="707">
        <v>21569.90476</v>
      </c>
      <c r="E31" s="256">
        <f t="shared" si="0"/>
        <v>-13505.496760000002</v>
      </c>
    </row>
    <row r="32" spans="1:5" s="148" customFormat="1" ht="12.75">
      <c r="A32" s="159" t="s">
        <v>219</v>
      </c>
      <c r="B32" s="643" t="s">
        <v>471</v>
      </c>
      <c r="C32" s="707">
        <v>409</v>
      </c>
      <c r="D32" s="707">
        <v>57.04942</v>
      </c>
      <c r="E32" s="255">
        <f t="shared" si="0"/>
        <v>351.95058</v>
      </c>
    </row>
    <row r="33" spans="1:5" s="148" customFormat="1" ht="12.75">
      <c r="A33" s="159" t="s">
        <v>220</v>
      </c>
      <c r="B33" s="642" t="s">
        <v>221</v>
      </c>
      <c r="C33" s="707">
        <v>22923</v>
      </c>
      <c r="D33" s="707">
        <v>13068.19691</v>
      </c>
      <c r="E33" s="255">
        <f t="shared" si="0"/>
        <v>9854.80309</v>
      </c>
    </row>
    <row r="34" spans="1:5" s="148" customFormat="1" ht="12.75">
      <c r="A34" s="159" t="s">
        <v>222</v>
      </c>
      <c r="B34" s="642" t="s">
        <v>470</v>
      </c>
      <c r="C34" s="707">
        <v>1375.501</v>
      </c>
      <c r="D34" s="707">
        <v>0</v>
      </c>
      <c r="E34" s="255">
        <f t="shared" si="0"/>
        <v>1375.501</v>
      </c>
    </row>
    <row r="35" spans="1:5" s="148" customFormat="1" ht="12.75">
      <c r="A35" s="159" t="s">
        <v>223</v>
      </c>
      <c r="B35" s="642" t="s">
        <v>224</v>
      </c>
      <c r="C35" s="707">
        <v>362.231</v>
      </c>
      <c r="D35" s="707">
        <v>360.0508</v>
      </c>
      <c r="E35" s="255">
        <f t="shared" si="0"/>
        <v>2.1802000000000135</v>
      </c>
    </row>
    <row r="36" spans="1:5" s="148" customFormat="1" ht="12.75">
      <c r="A36" s="159" t="s">
        <v>225</v>
      </c>
      <c r="B36" s="642" t="s">
        <v>226</v>
      </c>
      <c r="C36" s="707">
        <v>1926101.247</v>
      </c>
      <c r="D36" s="707">
        <v>1895783.8609500001</v>
      </c>
      <c r="E36" s="255">
        <f t="shared" si="0"/>
        <v>30317.386049999855</v>
      </c>
    </row>
    <row r="37" spans="1:5" s="148" customFormat="1" ht="12.75">
      <c r="A37" s="159" t="s">
        <v>227</v>
      </c>
      <c r="B37" s="642" t="s">
        <v>228</v>
      </c>
      <c r="C37" s="707">
        <v>611.303</v>
      </c>
      <c r="D37" s="707">
        <v>104.56891</v>
      </c>
      <c r="E37" s="255">
        <f t="shared" si="0"/>
        <v>506.73409</v>
      </c>
    </row>
    <row r="38" spans="1:5" s="148" customFormat="1" ht="12.75">
      <c r="A38" s="159" t="s">
        <v>229</v>
      </c>
      <c r="B38" s="642" t="s">
        <v>472</v>
      </c>
      <c r="C38" s="707">
        <v>600.262</v>
      </c>
      <c r="D38" s="707">
        <v>678.0069599999999</v>
      </c>
      <c r="E38" s="255">
        <f t="shared" si="0"/>
        <v>-77.74495999999999</v>
      </c>
    </row>
    <row r="39" spans="1:5" s="148" customFormat="1" ht="12.75">
      <c r="A39" s="159" t="s">
        <v>230</v>
      </c>
      <c r="B39" s="642" t="s">
        <v>231</v>
      </c>
      <c r="C39" s="707">
        <v>750027.2</v>
      </c>
      <c r="D39" s="707">
        <v>767324.15565</v>
      </c>
      <c r="E39" s="255">
        <f t="shared" si="0"/>
        <v>-17296.955650000018</v>
      </c>
    </row>
    <row r="40" spans="1:5" s="148" customFormat="1" ht="12.75">
      <c r="A40" s="159" t="s">
        <v>232</v>
      </c>
      <c r="B40" s="642" t="s">
        <v>233</v>
      </c>
      <c r="C40" s="707">
        <v>16493.275</v>
      </c>
      <c r="D40" s="707">
        <v>8663.467480000001</v>
      </c>
      <c r="E40" s="255">
        <f t="shared" si="0"/>
        <v>7829.80752</v>
      </c>
    </row>
    <row r="41" spans="1:5" s="148" customFormat="1" ht="12.75">
      <c r="A41" s="159" t="s">
        <v>234</v>
      </c>
      <c r="B41" s="642" t="s">
        <v>235</v>
      </c>
      <c r="C41" s="707">
        <v>515189.552</v>
      </c>
      <c r="D41" s="707">
        <v>502332.44566</v>
      </c>
      <c r="E41" s="255">
        <f t="shared" si="0"/>
        <v>12857.106339999998</v>
      </c>
    </row>
    <row r="42" spans="1:5" s="148" customFormat="1" ht="12.75">
      <c r="A42" s="159" t="s">
        <v>236</v>
      </c>
      <c r="B42" s="642" t="s">
        <v>237</v>
      </c>
      <c r="C42" s="707">
        <v>29096.998</v>
      </c>
      <c r="D42" s="707">
        <v>29707.808719999997</v>
      </c>
      <c r="E42" s="255">
        <f t="shared" si="0"/>
        <v>-610.8107199999977</v>
      </c>
    </row>
    <row r="43" spans="1:5" s="148" customFormat="1" ht="12.75">
      <c r="A43" s="159" t="s">
        <v>238</v>
      </c>
      <c r="B43" s="642" t="s">
        <v>239</v>
      </c>
      <c r="C43" s="707">
        <v>36174.03</v>
      </c>
      <c r="D43" s="707">
        <v>35369.74979</v>
      </c>
      <c r="E43" s="255">
        <f t="shared" si="0"/>
        <v>804.2802099999972</v>
      </c>
    </row>
    <row r="44" spans="1:5" s="148" customFormat="1" ht="12.75">
      <c r="A44" s="159" t="s">
        <v>240</v>
      </c>
      <c r="B44" s="642" t="s">
        <v>258</v>
      </c>
      <c r="C44" s="707">
        <v>390621.345</v>
      </c>
      <c r="D44" s="707">
        <v>311350.99593000003</v>
      </c>
      <c r="E44" s="255">
        <f t="shared" si="0"/>
        <v>79270.34906999994</v>
      </c>
    </row>
    <row r="45" spans="1:5" s="148" customFormat="1" ht="12.75">
      <c r="A45" s="159" t="s">
        <v>241</v>
      </c>
      <c r="B45" s="642" t="s">
        <v>533</v>
      </c>
      <c r="C45" s="707">
        <v>0</v>
      </c>
      <c r="D45" s="707">
        <v>-411.66238</v>
      </c>
      <c r="E45" s="255">
        <f t="shared" si="0"/>
        <v>411.66238</v>
      </c>
    </row>
    <row r="46" spans="1:5" s="148" customFormat="1" ht="6" customHeight="1" thickBot="1">
      <c r="A46" s="159"/>
      <c r="B46" s="788"/>
      <c r="C46" s="841"/>
      <c r="D46" s="149"/>
      <c r="E46" s="149"/>
    </row>
    <row r="47" spans="1:5" s="148" customFormat="1" ht="14.25" thickBot="1" thickTop="1">
      <c r="A47" s="851" t="s">
        <v>242</v>
      </c>
      <c r="B47" s="160"/>
      <c r="C47" s="514">
        <f>SUM(C14:C45)</f>
        <v>13392691.738999998</v>
      </c>
      <c r="D47" s="514">
        <f>SUM(D14:D45)</f>
        <v>13392606.601019999</v>
      </c>
      <c r="E47" s="514">
        <f>SUM(E14:E45)</f>
        <v>85.13798000044176</v>
      </c>
    </row>
    <row r="48" ht="6" customHeight="1" thickTop="1">
      <c r="C48" s="558"/>
    </row>
    <row r="49" spans="3:5" ht="12.75">
      <c r="C49" s="558"/>
      <c r="E49" s="437"/>
    </row>
  </sheetData>
  <sheetProtection/>
  <mergeCells count="4">
    <mergeCell ref="A2:E2"/>
    <mergeCell ref="A1:E1"/>
    <mergeCell ref="A3:E3"/>
    <mergeCell ref="A4:E4"/>
  </mergeCells>
  <printOptions horizontalCentered="1"/>
  <pageMargins left="0" right="0" top="0.75" bottom="0.75" header="0.25" footer="0.25"/>
  <pageSetup horizontalDpi="600" verticalDpi="600" orientation="portrait" scale="95" r:id="rId1"/>
  <headerFooter alignWithMargins="0">
    <oddFooter>&amp;C&amp;12- 14 -</oddFooter>
  </headerFooter>
  <ignoredErrors>
    <ignoredError sqref="A14:A1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11" topLeftCell="A42" activePane="bottomLeft" state="frozen"/>
      <selection pane="topLeft" activeCell="G13" sqref="G13"/>
      <selection pane="bottomLeft" activeCell="L29" sqref="L29"/>
    </sheetView>
  </sheetViews>
  <sheetFormatPr defaultColWidth="9.140625" defaultRowHeight="12.75"/>
  <cols>
    <col min="1" max="1" width="5.421875" style="161" customWidth="1"/>
    <col min="2" max="2" width="38.7109375" style="161" customWidth="1"/>
    <col min="3" max="4" width="14.7109375" style="161" customWidth="1"/>
    <col min="5" max="6" width="14.421875" style="161" customWidth="1"/>
    <col min="7" max="16384" width="9.140625" style="161" customWidth="1"/>
  </cols>
  <sheetData>
    <row r="1" spans="1:6" s="148" customFormat="1" ht="20.25">
      <c r="A1" s="904" t="s">
        <v>85</v>
      </c>
      <c r="B1" s="904"/>
      <c r="C1" s="904"/>
      <c r="D1" s="904"/>
      <c r="E1" s="904"/>
      <c r="F1" s="904"/>
    </row>
    <row r="2" spans="1:6" s="148" customFormat="1" ht="18.75">
      <c r="A2" s="921" t="s">
        <v>305</v>
      </c>
      <c r="B2" s="921"/>
      <c r="C2" s="921"/>
      <c r="D2" s="921"/>
      <c r="E2" s="921"/>
      <c r="F2" s="921"/>
    </row>
    <row r="3" spans="1:6" s="148" customFormat="1" ht="15.75">
      <c r="A3" s="924" t="str">
        <f>+'YTD Commitments-PS by object'!A3:E3</f>
        <v>FY2015 Year-End Close</v>
      </c>
      <c r="B3" s="924"/>
      <c r="C3" s="924"/>
      <c r="D3" s="924"/>
      <c r="E3" s="924"/>
      <c r="F3" s="924"/>
    </row>
    <row r="4" spans="1:6" s="148" customFormat="1" ht="12.75">
      <c r="A4" s="925" t="s">
        <v>16</v>
      </c>
      <c r="B4" s="925"/>
      <c r="C4" s="925"/>
      <c r="D4" s="925"/>
      <c r="E4" s="925"/>
      <c r="F4" s="925"/>
    </row>
    <row r="5" spans="1:6" s="148" customFormat="1" ht="7.5" customHeight="1">
      <c r="A5" s="162"/>
      <c r="B5" s="4"/>
      <c r="C5" s="4"/>
      <c r="D5" s="163"/>
      <c r="E5" s="4"/>
      <c r="F5" s="164"/>
    </row>
    <row r="6" spans="1:6" s="148" customFormat="1" ht="14.25" customHeight="1">
      <c r="A6" s="150"/>
      <c r="B6" s="150"/>
      <c r="C6" s="151"/>
      <c r="D6" s="151"/>
      <c r="E6" s="152"/>
      <c r="F6" s="151"/>
    </row>
    <row r="7" spans="1:6" s="148" customFormat="1" ht="14.25" customHeight="1">
      <c r="A7" s="770"/>
      <c r="B7" s="770"/>
      <c r="C7" s="771"/>
      <c r="D7" s="772" t="str">
        <f>+'YTD Commitments-PS by object'!D8</f>
        <v>FY2015</v>
      </c>
      <c r="E7" s="478"/>
      <c r="F7" s="771"/>
    </row>
    <row r="8" spans="1:6" s="148" customFormat="1" ht="14.25" customHeight="1">
      <c r="A8" s="165"/>
      <c r="B8" s="165"/>
      <c r="C8" s="772" t="str">
        <f>+'YTD Commitments-PS by object'!C8</f>
        <v>FY2015</v>
      </c>
      <c r="D8" s="124" t="s">
        <v>421</v>
      </c>
      <c r="E8" s="154"/>
      <c r="F8" s="153"/>
    </row>
    <row r="9" spans="1:6" s="166" customFormat="1" ht="12.75" customHeight="1">
      <c r="A9" s="165"/>
      <c r="B9" s="165"/>
      <c r="C9" s="153" t="s">
        <v>294</v>
      </c>
      <c r="D9" s="124" t="s">
        <v>410</v>
      </c>
      <c r="E9" s="154" t="s">
        <v>87</v>
      </c>
      <c r="F9" s="153" t="s">
        <v>88</v>
      </c>
    </row>
    <row r="10" spans="1:6" s="166" customFormat="1" ht="12">
      <c r="A10" s="167"/>
      <c r="B10" s="165" t="s">
        <v>86</v>
      </c>
      <c r="C10" s="153" t="s">
        <v>6</v>
      </c>
      <c r="D10" s="521" t="s">
        <v>304</v>
      </c>
      <c r="E10" s="154" t="s">
        <v>306</v>
      </c>
      <c r="F10" s="153" t="s">
        <v>90</v>
      </c>
    </row>
    <row r="11" spans="1:6" s="170" customFormat="1" ht="11.25" customHeight="1">
      <c r="A11" s="168"/>
      <c r="B11" s="168"/>
      <c r="C11" s="169"/>
      <c r="D11" s="628"/>
      <c r="E11" s="842"/>
      <c r="F11" s="169"/>
    </row>
    <row r="12" spans="1:6" s="170" customFormat="1" ht="7.5" customHeight="1">
      <c r="A12" s="159"/>
      <c r="B12" s="159"/>
      <c r="C12" s="153"/>
      <c r="D12" s="171"/>
      <c r="E12" s="172"/>
      <c r="F12" s="171"/>
    </row>
    <row r="13" spans="1:6" s="170" customFormat="1" ht="12" customHeight="1">
      <c r="A13" s="159" t="s">
        <v>91</v>
      </c>
      <c r="B13" s="159" t="s">
        <v>92</v>
      </c>
      <c r="C13" s="519">
        <v>319646.347</v>
      </c>
      <c r="D13" s="519">
        <v>311586.7</v>
      </c>
      <c r="E13" s="240">
        <f aca="true" t="shared" si="0" ref="E13:E35">D13/C13</f>
        <v>0.974785737188481</v>
      </c>
      <c r="F13" s="519">
        <f aca="true" t="shared" si="1" ref="F13:F60">C13-D13</f>
        <v>8059.646999999997</v>
      </c>
    </row>
    <row r="14" spans="1:6" s="170" customFormat="1" ht="12" customHeight="1">
      <c r="A14" s="159" t="s">
        <v>93</v>
      </c>
      <c r="B14" s="159" t="s">
        <v>94</v>
      </c>
      <c r="C14" s="515">
        <v>63523.053</v>
      </c>
      <c r="D14" s="478">
        <v>63350.00452</v>
      </c>
      <c r="E14" s="240">
        <f t="shared" si="0"/>
        <v>0.9972758160726312</v>
      </c>
      <c r="F14" s="149">
        <f t="shared" si="1"/>
        <v>173.04847999999765</v>
      </c>
    </row>
    <row r="15" spans="1:6" s="170" customFormat="1" ht="12" customHeight="1">
      <c r="A15" s="159" t="s">
        <v>95</v>
      </c>
      <c r="B15" s="159" t="s">
        <v>96</v>
      </c>
      <c r="C15" s="515">
        <v>189903.499</v>
      </c>
      <c r="D15" s="478">
        <v>190725.00019999998</v>
      </c>
      <c r="E15" s="240">
        <f t="shared" si="0"/>
        <v>1.0043258876446504</v>
      </c>
      <c r="F15" s="149">
        <f t="shared" si="1"/>
        <v>-821.5011999999697</v>
      </c>
    </row>
    <row r="16" spans="1:6" s="170" customFormat="1" ht="12" customHeight="1">
      <c r="A16" s="173" t="s">
        <v>97</v>
      </c>
      <c r="B16" s="159" t="s">
        <v>98</v>
      </c>
      <c r="C16" s="515">
        <v>47733.148</v>
      </c>
      <c r="D16" s="478">
        <v>50920.75145</v>
      </c>
      <c r="E16" s="240">
        <f t="shared" si="0"/>
        <v>1.0667796611696343</v>
      </c>
      <c r="F16" s="149">
        <f t="shared" si="1"/>
        <v>-3187.6034500000023</v>
      </c>
    </row>
    <row r="17" spans="1:6" s="170" customFormat="1" ht="12" customHeight="1">
      <c r="A17" s="159" t="s">
        <v>99</v>
      </c>
      <c r="B17" s="159" t="s">
        <v>100</v>
      </c>
      <c r="C17" s="515">
        <v>73826.59</v>
      </c>
      <c r="D17" s="478">
        <v>97268.05282</v>
      </c>
      <c r="E17" s="240">
        <f t="shared" si="0"/>
        <v>1.3175205954927622</v>
      </c>
      <c r="F17" s="149">
        <f t="shared" si="1"/>
        <v>-23441.46282</v>
      </c>
    </row>
    <row r="18" spans="1:6" s="170" customFormat="1" ht="12" customHeight="1">
      <c r="A18" s="159" t="s">
        <v>101</v>
      </c>
      <c r="B18" s="159" t="s">
        <v>102</v>
      </c>
      <c r="C18" s="515">
        <v>99754.402</v>
      </c>
      <c r="D18" s="478">
        <v>101764.81328</v>
      </c>
      <c r="E18" s="240">
        <f t="shared" si="0"/>
        <v>1.0201536096622583</v>
      </c>
      <c r="F18" s="149">
        <f t="shared" si="1"/>
        <v>-2010.4112800000003</v>
      </c>
    </row>
    <row r="19" spans="1:6" s="170" customFormat="1" ht="12" customHeight="1">
      <c r="A19" s="159" t="s">
        <v>103</v>
      </c>
      <c r="B19" s="159" t="s">
        <v>104</v>
      </c>
      <c r="C19" s="515">
        <v>17593.178</v>
      </c>
      <c r="D19" s="478">
        <v>10302.92433</v>
      </c>
      <c r="E19" s="240">
        <f t="shared" si="0"/>
        <v>0.5856204223023265</v>
      </c>
      <c r="F19" s="149">
        <f t="shared" si="1"/>
        <v>7290.25367</v>
      </c>
    </row>
    <row r="20" spans="1:6" s="170" customFormat="1" ht="12" customHeight="1">
      <c r="A20" s="159" t="s">
        <v>105</v>
      </c>
      <c r="B20" s="159" t="s">
        <v>106</v>
      </c>
      <c r="C20" s="515">
        <v>813296.265</v>
      </c>
      <c r="D20" s="515">
        <v>823548.0335999998</v>
      </c>
      <c r="E20" s="240">
        <f t="shared" si="0"/>
        <v>1.0126052080172774</v>
      </c>
      <c r="F20" s="149">
        <f t="shared" si="1"/>
        <v>-10251.768599999836</v>
      </c>
    </row>
    <row r="21" spans="1:6" s="170" customFormat="1" ht="12" customHeight="1">
      <c r="A21" s="159" t="s">
        <v>107</v>
      </c>
      <c r="B21" s="159" t="s">
        <v>108</v>
      </c>
      <c r="C21" s="515">
        <v>78150.325</v>
      </c>
      <c r="D21" s="515">
        <v>55342.38379</v>
      </c>
      <c r="E21" s="240">
        <f t="shared" si="0"/>
        <v>0.7081529576492485</v>
      </c>
      <c r="F21" s="149">
        <f t="shared" si="1"/>
        <v>22807.941209999997</v>
      </c>
    </row>
    <row r="22" spans="1:6" s="170" customFormat="1" ht="12" customHeight="1">
      <c r="A22" s="159" t="s">
        <v>109</v>
      </c>
      <c r="B22" s="159" t="s">
        <v>110</v>
      </c>
      <c r="C22" s="515">
        <v>189981.89</v>
      </c>
      <c r="D22" s="478">
        <v>187981.90508000003</v>
      </c>
      <c r="E22" s="240">
        <f t="shared" si="0"/>
        <v>0.9894727601667718</v>
      </c>
      <c r="F22" s="149">
        <f t="shared" si="1"/>
        <v>1999.984919999988</v>
      </c>
    </row>
    <row r="23" spans="1:6" s="170" customFormat="1" ht="12" customHeight="1">
      <c r="A23" s="159" t="s">
        <v>629</v>
      </c>
      <c r="B23" s="159" t="s">
        <v>630</v>
      </c>
      <c r="C23" s="515">
        <v>367</v>
      </c>
      <c r="D23" s="478">
        <v>0</v>
      </c>
      <c r="E23" s="240">
        <f t="shared" si="0"/>
        <v>0</v>
      </c>
      <c r="F23" s="149">
        <f t="shared" si="1"/>
        <v>367</v>
      </c>
    </row>
    <row r="24" spans="1:6" s="170" customFormat="1" ht="12" customHeight="1">
      <c r="A24" s="159" t="s">
        <v>111</v>
      </c>
      <c r="B24" s="159" t="s">
        <v>112</v>
      </c>
      <c r="C24" s="515">
        <v>225577.396</v>
      </c>
      <c r="D24" s="478">
        <v>221870.77812</v>
      </c>
      <c r="E24" s="240">
        <f t="shared" si="0"/>
        <v>0.9835683098318947</v>
      </c>
      <c r="F24" s="149">
        <f t="shared" si="1"/>
        <v>3706.6178800000052</v>
      </c>
    </row>
    <row r="25" spans="1:6" s="170" customFormat="1" ht="12" customHeight="1">
      <c r="A25" s="159" t="s">
        <v>243</v>
      </c>
      <c r="B25" s="159" t="s">
        <v>244</v>
      </c>
      <c r="C25" s="515">
        <v>16165.087</v>
      </c>
      <c r="D25" s="478">
        <v>18618.33136</v>
      </c>
      <c r="E25" s="240">
        <f t="shared" si="0"/>
        <v>1.1517619026733354</v>
      </c>
      <c r="F25" s="149">
        <f t="shared" si="1"/>
        <v>-2453.2443600000006</v>
      </c>
    </row>
    <row r="26" spans="1:6" s="170" customFormat="1" ht="12" customHeight="1">
      <c r="A26" s="159" t="s">
        <v>113</v>
      </c>
      <c r="B26" s="159" t="s">
        <v>114</v>
      </c>
      <c r="C26" s="515">
        <v>87258.318</v>
      </c>
      <c r="D26" s="478">
        <v>83784.23655</v>
      </c>
      <c r="E26" s="240">
        <f t="shared" si="0"/>
        <v>0.9601862432186694</v>
      </c>
      <c r="F26" s="149">
        <f t="shared" si="1"/>
        <v>3474.081449999998</v>
      </c>
    </row>
    <row r="27" spans="1:6" s="170" customFormat="1" ht="12" customHeight="1">
      <c r="A27" s="159" t="s">
        <v>115</v>
      </c>
      <c r="B27" s="159" t="s">
        <v>116</v>
      </c>
      <c r="C27" s="515">
        <v>13922.033</v>
      </c>
      <c r="D27" s="478">
        <v>17366.25821</v>
      </c>
      <c r="E27" s="240">
        <f t="shared" si="0"/>
        <v>1.2473938403967295</v>
      </c>
      <c r="F27" s="149">
        <f t="shared" si="1"/>
        <v>-3444.2252100000005</v>
      </c>
    </row>
    <row r="28" spans="1:6" s="170" customFormat="1" ht="12" customHeight="1">
      <c r="A28" s="159" t="s">
        <v>117</v>
      </c>
      <c r="B28" s="159" t="s">
        <v>118</v>
      </c>
      <c r="C28" s="515">
        <v>178.324</v>
      </c>
      <c r="D28" s="515">
        <v>223.09375</v>
      </c>
      <c r="E28" s="241">
        <f t="shared" si="0"/>
        <v>1.2510584666113367</v>
      </c>
      <c r="F28" s="184">
        <f t="shared" si="1"/>
        <v>-44.76974999999999</v>
      </c>
    </row>
    <row r="29" spans="1:6" s="170" customFormat="1" ht="12" customHeight="1">
      <c r="A29" s="159" t="s">
        <v>119</v>
      </c>
      <c r="B29" s="159" t="s">
        <v>120</v>
      </c>
      <c r="C29" s="515">
        <v>3295.287</v>
      </c>
      <c r="D29" s="478">
        <v>1032.02628</v>
      </c>
      <c r="E29" s="240">
        <f t="shared" si="0"/>
        <v>0.3131825179415329</v>
      </c>
      <c r="F29" s="149">
        <f t="shared" si="1"/>
        <v>2263.2607199999998</v>
      </c>
    </row>
    <row r="30" spans="1:6" s="170" customFormat="1" ht="12" customHeight="1">
      <c r="A30" s="159" t="s">
        <v>121</v>
      </c>
      <c r="B30" s="159" t="s">
        <v>122</v>
      </c>
      <c r="C30" s="515">
        <v>19651.719</v>
      </c>
      <c r="D30" s="478">
        <v>19353.547280000003</v>
      </c>
      <c r="E30" s="240">
        <f t="shared" si="0"/>
        <v>0.9848271939976346</v>
      </c>
      <c r="F30" s="149">
        <f t="shared" si="1"/>
        <v>298.17171999999846</v>
      </c>
    </row>
    <row r="31" spans="1:6" s="170" customFormat="1" ht="12" customHeight="1">
      <c r="A31" s="159" t="s">
        <v>123</v>
      </c>
      <c r="B31" s="159" t="s">
        <v>124</v>
      </c>
      <c r="C31" s="515">
        <v>4460.346</v>
      </c>
      <c r="D31" s="478">
        <v>7816.57363</v>
      </c>
      <c r="E31" s="240">
        <f t="shared" si="0"/>
        <v>1.7524590312052026</v>
      </c>
      <c r="F31" s="149">
        <f t="shared" si="1"/>
        <v>-3356.2276300000003</v>
      </c>
    </row>
    <row r="32" spans="1:6" s="170" customFormat="1" ht="12" customHeight="1">
      <c r="A32" s="159" t="s">
        <v>125</v>
      </c>
      <c r="B32" s="159" t="s">
        <v>126</v>
      </c>
      <c r="C32" s="515">
        <v>322.416</v>
      </c>
      <c r="D32" s="478">
        <v>306.86333</v>
      </c>
      <c r="E32" s="240">
        <f t="shared" si="0"/>
        <v>0.9517621023770533</v>
      </c>
      <c r="F32" s="149">
        <f t="shared" si="1"/>
        <v>15.552669999999978</v>
      </c>
    </row>
    <row r="33" spans="1:6" s="170" customFormat="1" ht="12" customHeight="1">
      <c r="A33" s="159" t="s">
        <v>127</v>
      </c>
      <c r="B33" s="159" t="s">
        <v>128</v>
      </c>
      <c r="C33" s="515">
        <v>21429.632</v>
      </c>
      <c r="D33" s="478">
        <v>28628.3543</v>
      </c>
      <c r="E33" s="240">
        <f t="shared" si="0"/>
        <v>1.3359237480139647</v>
      </c>
      <c r="F33" s="806">
        <f t="shared" si="1"/>
        <v>-7198.722299999998</v>
      </c>
    </row>
    <row r="34" spans="1:6" s="170" customFormat="1" ht="12" customHeight="1">
      <c r="A34" s="159" t="s">
        <v>129</v>
      </c>
      <c r="B34" s="159" t="s">
        <v>130</v>
      </c>
      <c r="C34" s="515">
        <v>180.553</v>
      </c>
      <c r="D34" s="478">
        <v>170.50879999999998</v>
      </c>
      <c r="E34" s="242">
        <f t="shared" si="0"/>
        <v>0.944369797234053</v>
      </c>
      <c r="F34" s="806">
        <f t="shared" si="1"/>
        <v>10.044200000000018</v>
      </c>
    </row>
    <row r="35" spans="1:6" s="170" customFormat="1" ht="12" customHeight="1">
      <c r="A35" s="159" t="s">
        <v>131</v>
      </c>
      <c r="B35" s="159" t="s">
        <v>132</v>
      </c>
      <c r="C35" s="515">
        <v>4881.781</v>
      </c>
      <c r="D35" s="478">
        <v>2756.07721</v>
      </c>
      <c r="E35" s="240">
        <f t="shared" si="0"/>
        <v>0.5645638774045784</v>
      </c>
      <c r="F35" s="149">
        <f t="shared" si="1"/>
        <v>2125.70379</v>
      </c>
    </row>
    <row r="36" spans="1:6" s="170" customFormat="1" ht="12" customHeight="1">
      <c r="A36" s="159" t="s">
        <v>133</v>
      </c>
      <c r="B36" s="159" t="s">
        <v>134</v>
      </c>
      <c r="C36" s="515">
        <v>53.111</v>
      </c>
      <c r="D36" s="478">
        <v>0</v>
      </c>
      <c r="E36" s="243">
        <v>0</v>
      </c>
      <c r="F36" s="149">
        <f t="shared" si="1"/>
        <v>53.111</v>
      </c>
    </row>
    <row r="37" spans="1:6" s="170" customFormat="1" ht="12" customHeight="1">
      <c r="A37" s="159" t="s">
        <v>135</v>
      </c>
      <c r="B37" s="159" t="s">
        <v>136</v>
      </c>
      <c r="C37" s="515">
        <v>1083152.53</v>
      </c>
      <c r="D37" s="478">
        <v>1106737.62096</v>
      </c>
      <c r="E37" s="240">
        <f aca="true" t="shared" si="2" ref="E37:E48">D37/C37</f>
        <v>1.0217744872552714</v>
      </c>
      <c r="F37" s="149">
        <f t="shared" si="1"/>
        <v>-23585.090959999943</v>
      </c>
    </row>
    <row r="38" spans="1:6" s="170" customFormat="1" ht="12" customHeight="1">
      <c r="A38" s="159" t="s">
        <v>137</v>
      </c>
      <c r="B38" s="159" t="s">
        <v>138</v>
      </c>
      <c r="C38" s="515">
        <v>2593736.149</v>
      </c>
      <c r="D38" s="478">
        <v>2584808.1964600002</v>
      </c>
      <c r="E38" s="240">
        <f t="shared" si="2"/>
        <v>0.9965578794344822</v>
      </c>
      <c r="F38" s="149">
        <f t="shared" si="1"/>
        <v>8927.95253999997</v>
      </c>
    </row>
    <row r="39" spans="1:6" s="170" customFormat="1" ht="12" customHeight="1">
      <c r="A39" s="159" t="s">
        <v>139</v>
      </c>
      <c r="B39" s="159" t="s">
        <v>140</v>
      </c>
      <c r="C39" s="515">
        <v>4156.735</v>
      </c>
      <c r="D39" s="478">
        <v>10145.975</v>
      </c>
      <c r="E39" s="240">
        <f t="shared" si="2"/>
        <v>2.4408520148626267</v>
      </c>
      <c r="F39" s="149">
        <f t="shared" si="1"/>
        <v>-5989.240000000001</v>
      </c>
    </row>
    <row r="40" spans="1:6" s="170" customFormat="1" ht="12" customHeight="1">
      <c r="A40" s="159" t="s">
        <v>141</v>
      </c>
      <c r="B40" s="159" t="s">
        <v>142</v>
      </c>
      <c r="C40" s="515">
        <v>181658.631</v>
      </c>
      <c r="D40" s="478">
        <v>189150.88079</v>
      </c>
      <c r="E40" s="240">
        <f t="shared" si="2"/>
        <v>1.0412435662911057</v>
      </c>
      <c r="F40" s="149">
        <f t="shared" si="1"/>
        <v>-7492.249790000002</v>
      </c>
    </row>
    <row r="41" spans="1:6" s="170" customFormat="1" ht="12" customHeight="1">
      <c r="A41" s="159" t="s">
        <v>143</v>
      </c>
      <c r="B41" s="159" t="s">
        <v>144</v>
      </c>
      <c r="C41" s="515">
        <v>1784.945</v>
      </c>
      <c r="D41" s="478">
        <v>4331.4196600000005</v>
      </c>
      <c r="E41" s="240">
        <f t="shared" si="2"/>
        <v>2.426640406287029</v>
      </c>
      <c r="F41" s="149">
        <f t="shared" si="1"/>
        <v>-2546.4746600000008</v>
      </c>
    </row>
    <row r="42" spans="1:6" s="170" customFormat="1" ht="12" customHeight="1">
      <c r="A42" s="159" t="s">
        <v>145</v>
      </c>
      <c r="B42" s="159" t="s">
        <v>146</v>
      </c>
      <c r="C42" s="515">
        <v>12232.172</v>
      </c>
      <c r="D42" s="478">
        <v>15837.37691</v>
      </c>
      <c r="E42" s="240">
        <f t="shared" si="2"/>
        <v>1.294731378041447</v>
      </c>
      <c r="F42" s="149">
        <f t="shared" si="1"/>
        <v>-3605.2049100000004</v>
      </c>
    </row>
    <row r="43" spans="1:6" s="170" customFormat="1" ht="12" customHeight="1">
      <c r="A43" s="159" t="s">
        <v>147</v>
      </c>
      <c r="B43" s="159" t="s">
        <v>148</v>
      </c>
      <c r="C43" s="515">
        <v>1804.822</v>
      </c>
      <c r="D43" s="478">
        <v>1668.2846399999999</v>
      </c>
      <c r="E43" s="240">
        <f t="shared" si="2"/>
        <v>0.924348572878655</v>
      </c>
      <c r="F43" s="149">
        <f t="shared" si="1"/>
        <v>136.53736000000004</v>
      </c>
    </row>
    <row r="44" spans="1:6" s="170" customFormat="1" ht="12" customHeight="1">
      <c r="A44" s="159" t="s">
        <v>149</v>
      </c>
      <c r="B44" s="159" t="s">
        <v>150</v>
      </c>
      <c r="C44" s="515">
        <v>38333.015</v>
      </c>
      <c r="D44" s="478">
        <v>45346.84229</v>
      </c>
      <c r="E44" s="240">
        <f t="shared" si="2"/>
        <v>1.1829709270194375</v>
      </c>
      <c r="F44" s="149">
        <f t="shared" si="1"/>
        <v>-7013.827290000001</v>
      </c>
    </row>
    <row r="45" spans="1:6" s="170" customFormat="1" ht="12" customHeight="1">
      <c r="A45" s="159" t="s">
        <v>151</v>
      </c>
      <c r="B45" s="159" t="s">
        <v>152</v>
      </c>
      <c r="C45" s="515">
        <v>816544.864</v>
      </c>
      <c r="D45" s="478">
        <v>764523.95078</v>
      </c>
      <c r="E45" s="240">
        <f t="shared" si="2"/>
        <v>0.9362914207001858</v>
      </c>
      <c r="F45" s="149">
        <f t="shared" si="1"/>
        <v>52020.91321999999</v>
      </c>
    </row>
    <row r="46" spans="1:6" s="170" customFormat="1" ht="12" customHeight="1">
      <c r="A46" s="159" t="s">
        <v>153</v>
      </c>
      <c r="B46" s="159" t="s">
        <v>154</v>
      </c>
      <c r="C46" s="515">
        <v>115921.263</v>
      </c>
      <c r="D46" s="478">
        <v>124922.84491</v>
      </c>
      <c r="E46" s="240">
        <f t="shared" si="2"/>
        <v>1.077652552060272</v>
      </c>
      <c r="F46" s="149">
        <f t="shared" si="1"/>
        <v>-9001.581909999994</v>
      </c>
    </row>
    <row r="47" spans="1:6" s="170" customFormat="1" ht="12" customHeight="1">
      <c r="A47" s="159" t="s">
        <v>155</v>
      </c>
      <c r="B47" s="159" t="s">
        <v>156</v>
      </c>
      <c r="C47" s="515">
        <v>100261.16</v>
      </c>
      <c r="D47" s="478">
        <v>101115.02281000001</v>
      </c>
      <c r="E47" s="240">
        <f t="shared" si="2"/>
        <v>1.0085163867044826</v>
      </c>
      <c r="F47" s="149">
        <f t="shared" si="1"/>
        <v>-853.862810000006</v>
      </c>
    </row>
    <row r="48" spans="1:6" s="170" customFormat="1" ht="12" customHeight="1">
      <c r="A48" s="159" t="s">
        <v>157</v>
      </c>
      <c r="B48" s="159" t="s">
        <v>158</v>
      </c>
      <c r="C48" s="515">
        <v>479.43</v>
      </c>
      <c r="D48" s="478">
        <v>1359.75637</v>
      </c>
      <c r="E48" s="240">
        <f t="shared" si="2"/>
        <v>2.836193750912542</v>
      </c>
      <c r="F48" s="184">
        <f t="shared" si="1"/>
        <v>-880.32637</v>
      </c>
    </row>
    <row r="49" spans="1:6" s="170" customFormat="1" ht="12" customHeight="1">
      <c r="A49" s="159" t="s">
        <v>159</v>
      </c>
      <c r="B49" s="159" t="s">
        <v>160</v>
      </c>
      <c r="C49" s="515">
        <v>8412.432</v>
      </c>
      <c r="D49" s="478">
        <v>8515.141</v>
      </c>
      <c r="E49" s="244">
        <v>0</v>
      </c>
      <c r="F49" s="184">
        <f t="shared" si="1"/>
        <v>-102.70899999999892</v>
      </c>
    </row>
    <row r="50" spans="1:6" s="170" customFormat="1" ht="12" customHeight="1">
      <c r="A50" s="159" t="s">
        <v>161</v>
      </c>
      <c r="B50" s="159" t="s">
        <v>162</v>
      </c>
      <c r="C50" s="515">
        <v>28791.932</v>
      </c>
      <c r="D50" s="478">
        <v>36123.09491</v>
      </c>
      <c r="E50" s="240">
        <f aca="true" t="shared" si="3" ref="E50:E60">D50/C50</f>
        <v>1.254625598240507</v>
      </c>
      <c r="F50" s="184">
        <f t="shared" si="1"/>
        <v>-7331.162909999999</v>
      </c>
    </row>
    <row r="51" spans="1:6" s="170" customFormat="1" ht="12" customHeight="1">
      <c r="A51" s="159" t="s">
        <v>163</v>
      </c>
      <c r="B51" s="159" t="s">
        <v>164</v>
      </c>
      <c r="C51" s="515">
        <v>16137.13</v>
      </c>
      <c r="D51" s="478">
        <v>23320.871</v>
      </c>
      <c r="E51" s="240">
        <f t="shared" si="3"/>
        <v>1.4451684407326457</v>
      </c>
      <c r="F51" s="184">
        <f t="shared" si="1"/>
        <v>-7183.741</v>
      </c>
    </row>
    <row r="52" spans="1:6" s="170" customFormat="1" ht="12" customHeight="1">
      <c r="A52" s="159" t="s">
        <v>165</v>
      </c>
      <c r="B52" s="159" t="s">
        <v>166</v>
      </c>
      <c r="C52" s="515">
        <v>98.103</v>
      </c>
      <c r="D52" s="478">
        <v>461.28825</v>
      </c>
      <c r="E52" s="240">
        <f t="shared" si="3"/>
        <v>4.702080976116939</v>
      </c>
      <c r="F52" s="184">
        <f t="shared" si="1"/>
        <v>-363.18525</v>
      </c>
    </row>
    <row r="53" spans="1:6" s="170" customFormat="1" ht="12" customHeight="1">
      <c r="A53" s="159" t="s">
        <v>167</v>
      </c>
      <c r="B53" s="159" t="s">
        <v>168</v>
      </c>
      <c r="C53" s="515">
        <v>28633.56</v>
      </c>
      <c r="D53" s="478">
        <v>9076.1397</v>
      </c>
      <c r="E53" s="240">
        <f t="shared" si="3"/>
        <v>0.3169755943724776</v>
      </c>
      <c r="F53" s="184">
        <f t="shared" si="1"/>
        <v>19557.4203</v>
      </c>
    </row>
    <row r="54" spans="1:6" s="170" customFormat="1" ht="12" customHeight="1">
      <c r="A54" s="159" t="s">
        <v>169</v>
      </c>
      <c r="B54" s="159" t="s">
        <v>170</v>
      </c>
      <c r="C54" s="515">
        <v>2390.161</v>
      </c>
      <c r="D54" s="478">
        <v>1963.82793</v>
      </c>
      <c r="E54" s="240">
        <f t="shared" si="3"/>
        <v>0.8216299780642391</v>
      </c>
      <c r="F54" s="184">
        <f t="shared" si="1"/>
        <v>426.33307000000013</v>
      </c>
    </row>
    <row r="55" spans="1:6" s="644" customFormat="1" ht="12" customHeight="1">
      <c r="A55" s="159" t="s">
        <v>473</v>
      </c>
      <c r="B55" s="159" t="s">
        <v>475</v>
      </c>
      <c r="C55" s="515">
        <v>130003.922</v>
      </c>
      <c r="D55" s="478">
        <v>130003.922</v>
      </c>
      <c r="E55" s="240">
        <f t="shared" si="3"/>
        <v>1</v>
      </c>
      <c r="F55" s="184">
        <f t="shared" si="1"/>
        <v>0</v>
      </c>
    </row>
    <row r="56" spans="1:6" s="170" customFormat="1" ht="12" customHeight="1">
      <c r="A56" s="159" t="s">
        <v>171</v>
      </c>
      <c r="B56" s="159" t="s">
        <v>172</v>
      </c>
      <c r="C56" s="515">
        <v>90135.001</v>
      </c>
      <c r="D56" s="478">
        <v>90000.065</v>
      </c>
      <c r="E56" s="240">
        <f t="shared" si="3"/>
        <v>0.9985029566927058</v>
      </c>
      <c r="F56" s="149">
        <f t="shared" si="1"/>
        <v>134.9360000000015</v>
      </c>
    </row>
    <row r="57" spans="1:6" s="170" customFormat="1" ht="12" customHeight="1">
      <c r="A57" s="159" t="s">
        <v>173</v>
      </c>
      <c r="B57" s="159" t="s">
        <v>174</v>
      </c>
      <c r="C57" s="515">
        <v>15450.338</v>
      </c>
      <c r="D57" s="478">
        <v>12555.982</v>
      </c>
      <c r="E57" s="240">
        <f t="shared" si="3"/>
        <v>0.8126671403564116</v>
      </c>
      <c r="F57" s="149">
        <f t="shared" si="1"/>
        <v>2894.3559999999998</v>
      </c>
    </row>
    <row r="58" spans="1:6" s="170" customFormat="1" ht="12" customHeight="1">
      <c r="A58" s="159" t="s">
        <v>175</v>
      </c>
      <c r="B58" s="159" t="s">
        <v>176</v>
      </c>
      <c r="C58" s="515">
        <v>3826.05</v>
      </c>
      <c r="D58" s="478">
        <v>4275.53621</v>
      </c>
      <c r="E58" s="240">
        <f t="shared" si="3"/>
        <v>1.1174804850955946</v>
      </c>
      <c r="F58" s="149">
        <f t="shared" si="1"/>
        <v>-449.48621</v>
      </c>
    </row>
    <row r="59" spans="1:6" s="170" customFormat="1" ht="12" customHeight="1">
      <c r="A59" s="159" t="s">
        <v>177</v>
      </c>
      <c r="B59" s="159" t="s">
        <v>178</v>
      </c>
      <c r="C59" s="515">
        <v>45603.939</v>
      </c>
      <c r="D59" s="478">
        <v>45603.939</v>
      </c>
      <c r="E59" s="240">
        <f t="shared" si="3"/>
        <v>1</v>
      </c>
      <c r="F59" s="149">
        <f t="shared" si="1"/>
        <v>0</v>
      </c>
    </row>
    <row r="60" spans="1:6" s="170" customFormat="1" ht="12" customHeight="1">
      <c r="A60" s="159" t="s">
        <v>179</v>
      </c>
      <c r="B60" s="170" t="s">
        <v>180</v>
      </c>
      <c r="C60" s="515">
        <v>193.586</v>
      </c>
      <c r="D60" s="478">
        <v>193.585</v>
      </c>
      <c r="E60" s="240">
        <f t="shared" si="3"/>
        <v>0.9999948343371938</v>
      </c>
      <c r="F60" s="790">
        <f t="shared" si="1"/>
        <v>0.0010000000000047748</v>
      </c>
    </row>
    <row r="61" spans="1:6" s="170" customFormat="1" ht="8.25" customHeight="1" thickBot="1">
      <c r="A61" s="174"/>
      <c r="B61" s="159"/>
      <c r="C61" s="786"/>
      <c r="D61" s="174"/>
      <c r="E61" s="174"/>
      <c r="F61" s="174"/>
    </row>
    <row r="62" spans="1:6" s="170" customFormat="1" ht="13.5" thickBot="1" thickTop="1">
      <c r="A62" s="851" t="s">
        <v>181</v>
      </c>
      <c r="B62" s="160"/>
      <c r="C62" s="180">
        <f>SUM(C13:C60)</f>
        <v>7610893.570000001</v>
      </c>
      <c r="D62" s="176">
        <f>SUM(D13:D60)</f>
        <v>7606758.781470001</v>
      </c>
      <c r="E62" s="147">
        <f>D62/C62</f>
        <v>0.9994567275850107</v>
      </c>
      <c r="F62" s="180">
        <f>SUM(F13:F60)</f>
        <v>4134.788530000186</v>
      </c>
    </row>
    <row r="63" spans="2:6" ht="13.5" thickTop="1">
      <c r="B63" s="183"/>
      <c r="C63" s="216"/>
      <c r="F63" s="175"/>
    </row>
    <row r="64" spans="1:6" s="558" customFormat="1" ht="15">
      <c r="A64" s="561" t="s">
        <v>397</v>
      </c>
      <c r="B64" s="734" t="s">
        <v>625</v>
      </c>
      <c r="C64" s="735"/>
      <c r="D64" s="736"/>
      <c r="E64" s="736"/>
      <c r="F64" s="736"/>
    </row>
    <row r="65" spans="2:6" s="558" customFormat="1" ht="12.75">
      <c r="B65" s="559"/>
      <c r="C65" s="216"/>
      <c r="D65" s="438"/>
      <c r="E65" s="438"/>
      <c r="F65" s="560"/>
    </row>
  </sheetData>
  <sheetProtection/>
  <mergeCells count="4">
    <mergeCell ref="A1:F1"/>
    <mergeCell ref="A2:F2"/>
    <mergeCell ref="A4:F4"/>
    <mergeCell ref="A3:F3"/>
  </mergeCells>
  <printOptions horizontalCentered="1"/>
  <pageMargins left="0" right="0" top="0.75" bottom="0.75" header="0" footer="0.25"/>
  <pageSetup horizontalDpi="600" verticalDpi="600" orientation="portrait" scale="87" r:id="rId1"/>
  <headerFooter alignWithMargins="0">
    <oddFooter>&amp;C- &amp;12 15&amp;10 -</oddFooter>
  </headerFooter>
  <ignoredErrors>
    <ignoredError sqref="A13:A18 A35:A36" numberStoredAsText="1"/>
    <ignoredError sqref="E6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ySplit="9" topLeftCell="A46" activePane="bottomLeft" state="frozen"/>
      <selection pane="topLeft" activeCell="G13" sqref="G13"/>
      <selection pane="bottomLeft" activeCell="G13" sqref="G13"/>
    </sheetView>
  </sheetViews>
  <sheetFormatPr defaultColWidth="11.57421875" defaultRowHeight="12.75"/>
  <cols>
    <col min="1" max="1" width="6.421875" style="259" customWidth="1"/>
    <col min="2" max="2" width="11.57421875" style="258" customWidth="1"/>
    <col min="3" max="3" width="28.57421875" style="259" customWidth="1"/>
    <col min="4" max="4" width="8.28125" style="258" customWidth="1"/>
    <col min="5" max="5" width="7.28125" style="258" customWidth="1"/>
    <col min="6" max="6" width="7.57421875" style="258" bestFit="1" customWidth="1"/>
    <col min="7" max="7" width="8.00390625" style="257" customWidth="1"/>
    <col min="8" max="8" width="6.140625" style="258" customWidth="1"/>
    <col min="9" max="9" width="6.28125" style="258" customWidth="1"/>
    <col min="10" max="10" width="6.421875" style="258" customWidth="1"/>
    <col min="11" max="11" width="7.28125" style="258" customWidth="1"/>
    <col min="12" max="12" width="6.8515625" style="257" customWidth="1"/>
    <col min="13" max="13" width="7.8515625" style="258" customWidth="1"/>
    <col min="14" max="14" width="7.140625" style="258" customWidth="1"/>
    <col min="15" max="15" width="8.140625" style="257" customWidth="1"/>
    <col min="16" max="16384" width="11.57421875" style="258" customWidth="1"/>
  </cols>
  <sheetData>
    <row r="1" spans="1:15" s="257" customFormat="1" ht="26.25">
      <c r="A1" s="926" t="s">
        <v>85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</row>
    <row r="2" spans="1:15" ht="23.25">
      <c r="A2" s="927" t="s">
        <v>484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</row>
    <row r="3" spans="1:15" ht="15">
      <c r="A3" s="934" t="s">
        <v>631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</row>
    <row r="5" spans="1:15" ht="12.75">
      <c r="A5" s="260"/>
      <c r="B5" s="261"/>
      <c r="C5" s="262"/>
      <c r="D5" s="928" t="s">
        <v>329</v>
      </c>
      <c r="E5" s="929"/>
      <c r="F5" s="929"/>
      <c r="G5" s="930"/>
      <c r="H5" s="931" t="s">
        <v>482</v>
      </c>
      <c r="I5" s="932"/>
      <c r="J5" s="932"/>
      <c r="K5" s="932"/>
      <c r="L5" s="933"/>
      <c r="M5" s="263"/>
      <c r="N5" s="264"/>
      <c r="O5" s="265"/>
    </row>
    <row r="6" spans="1:15" ht="12">
      <c r="A6" s="266"/>
      <c r="B6" s="267"/>
      <c r="C6" s="268"/>
      <c r="D6" s="412"/>
      <c r="E6" s="269"/>
      <c r="F6" s="269"/>
      <c r="G6" s="270"/>
      <c r="H6" s="271"/>
      <c r="I6" s="269"/>
      <c r="J6" s="269"/>
      <c r="K6" s="269"/>
      <c r="L6" s="270"/>
      <c r="M6" s="272"/>
      <c r="N6" s="269"/>
      <c r="O6" s="270"/>
    </row>
    <row r="7" spans="1:15" ht="12">
      <c r="A7" s="273"/>
      <c r="B7" s="274"/>
      <c r="C7" s="274"/>
      <c r="D7" s="277"/>
      <c r="E7" s="275" t="s">
        <v>330</v>
      </c>
      <c r="F7" s="275"/>
      <c r="G7" s="276"/>
      <c r="H7" s="275" t="s">
        <v>331</v>
      </c>
      <c r="I7" s="275"/>
      <c r="J7" s="275" t="s">
        <v>332</v>
      </c>
      <c r="K7" s="275" t="s">
        <v>516</v>
      </c>
      <c r="L7" s="276"/>
      <c r="M7" s="277"/>
      <c r="N7" s="275" t="s">
        <v>333</v>
      </c>
      <c r="O7" s="276" t="s">
        <v>334</v>
      </c>
    </row>
    <row r="8" spans="1:15" ht="12" customHeight="1">
      <c r="A8" s="278"/>
      <c r="B8" s="279"/>
      <c r="C8" s="280"/>
      <c r="D8" s="632"/>
      <c r="E8" s="275" t="s">
        <v>335</v>
      </c>
      <c r="F8" s="275" t="s">
        <v>336</v>
      </c>
      <c r="G8" s="276"/>
      <c r="H8" s="281" t="s">
        <v>337</v>
      </c>
      <c r="I8" s="281" t="s">
        <v>338</v>
      </c>
      <c r="J8" s="281" t="s">
        <v>336</v>
      </c>
      <c r="K8" s="281" t="s">
        <v>336</v>
      </c>
      <c r="L8" s="276"/>
      <c r="M8" s="277" t="s">
        <v>333</v>
      </c>
      <c r="N8" s="281" t="s">
        <v>336</v>
      </c>
      <c r="O8" s="276" t="s">
        <v>333</v>
      </c>
    </row>
    <row r="9" spans="1:15" ht="12" customHeight="1">
      <c r="A9" s="282" t="s">
        <v>5</v>
      </c>
      <c r="B9" s="283"/>
      <c r="C9" s="284"/>
      <c r="D9" s="277" t="s">
        <v>339</v>
      </c>
      <c r="E9" s="283" t="s">
        <v>339</v>
      </c>
      <c r="F9" s="283" t="s">
        <v>339</v>
      </c>
      <c r="G9" s="285" t="s">
        <v>340</v>
      </c>
      <c r="H9" s="286" t="s">
        <v>339</v>
      </c>
      <c r="I9" s="286" t="s">
        <v>341</v>
      </c>
      <c r="J9" s="286" t="s">
        <v>339</v>
      </c>
      <c r="K9" s="286" t="s">
        <v>339</v>
      </c>
      <c r="L9" s="287" t="s">
        <v>340</v>
      </c>
      <c r="M9" s="288" t="s">
        <v>339</v>
      </c>
      <c r="N9" s="286" t="s">
        <v>339</v>
      </c>
      <c r="O9" s="287" t="s">
        <v>342</v>
      </c>
    </row>
    <row r="10" spans="1:15" s="296" customFormat="1" ht="12">
      <c r="A10" s="289"/>
      <c r="B10" s="290"/>
      <c r="C10" s="291"/>
      <c r="D10" s="295"/>
      <c r="E10" s="292"/>
      <c r="F10" s="292"/>
      <c r="G10" s="293"/>
      <c r="H10" s="292"/>
      <c r="I10" s="292"/>
      <c r="J10" s="292"/>
      <c r="K10" s="292"/>
      <c r="L10" s="294"/>
      <c r="M10" s="295"/>
      <c r="N10" s="292"/>
      <c r="O10" s="293"/>
    </row>
    <row r="11" spans="1:15" ht="12">
      <c r="A11" s="297">
        <v>401</v>
      </c>
      <c r="B11" s="298" t="s">
        <v>343</v>
      </c>
      <c r="C11" s="268"/>
      <c r="D11" s="633">
        <v>56731</v>
      </c>
      <c r="E11" s="299">
        <v>1211</v>
      </c>
      <c r="F11" s="299">
        <v>2750</v>
      </c>
      <c r="G11" s="300">
        <f>SUM(D11:F11)</f>
        <v>60692</v>
      </c>
      <c r="H11" s="646">
        <v>483</v>
      </c>
      <c r="I11" s="646">
        <v>23</v>
      </c>
      <c r="J11" s="646">
        <v>0</v>
      </c>
      <c r="K11" s="646">
        <v>6077</v>
      </c>
      <c r="L11" s="302">
        <f>SUM(H11:K11)</f>
        <v>6583</v>
      </c>
      <c r="M11" s="303">
        <f aca="true" t="shared" si="0" ref="M11:M26">D11+E11+H11</f>
        <v>58425</v>
      </c>
      <c r="N11" s="304">
        <f aca="true" t="shared" si="1" ref="N11:N26">F11+I11+J11+K11</f>
        <v>8850</v>
      </c>
      <c r="O11" s="302">
        <f aca="true" t="shared" si="2" ref="O11:O26">M11+N11</f>
        <v>67275</v>
      </c>
    </row>
    <row r="12" spans="1:15" ht="12.75" thickBot="1">
      <c r="A12" s="305"/>
      <c r="B12" s="306" t="s">
        <v>344</v>
      </c>
      <c r="C12" s="307"/>
      <c r="D12" s="634">
        <v>3824</v>
      </c>
      <c r="E12" s="308">
        <v>315</v>
      </c>
      <c r="F12" s="308">
        <v>17</v>
      </c>
      <c r="G12" s="309">
        <f aca="true" t="shared" si="3" ref="G12:G26">SUM(D12:F12)</f>
        <v>4156</v>
      </c>
      <c r="H12" s="647">
        <v>14</v>
      </c>
      <c r="I12" s="647">
        <v>1</v>
      </c>
      <c r="J12" s="647">
        <v>0</v>
      </c>
      <c r="K12" s="647">
        <v>196</v>
      </c>
      <c r="L12" s="310">
        <f aca="true" t="shared" si="4" ref="L12:L36">SUM(H12:K12)</f>
        <v>211</v>
      </c>
      <c r="M12" s="311">
        <f t="shared" si="0"/>
        <v>4153</v>
      </c>
      <c r="N12" s="312">
        <f t="shared" si="1"/>
        <v>214</v>
      </c>
      <c r="O12" s="313">
        <f t="shared" si="2"/>
        <v>4367</v>
      </c>
    </row>
    <row r="13" spans="1:15" ht="12">
      <c r="A13" s="297">
        <v>403</v>
      </c>
      <c r="B13" s="314" t="s">
        <v>345</v>
      </c>
      <c r="C13" s="268"/>
      <c r="D13" s="633">
        <v>14560</v>
      </c>
      <c r="E13" s="299">
        <v>9687</v>
      </c>
      <c r="F13" s="299">
        <v>6</v>
      </c>
      <c r="G13" s="300">
        <f t="shared" si="3"/>
        <v>24253</v>
      </c>
      <c r="H13" s="646">
        <v>79</v>
      </c>
      <c r="I13" s="646">
        <v>0</v>
      </c>
      <c r="J13" s="646">
        <v>0</v>
      </c>
      <c r="K13" s="646">
        <v>14</v>
      </c>
      <c r="L13" s="302">
        <f t="shared" si="4"/>
        <v>93</v>
      </c>
      <c r="M13" s="303">
        <f t="shared" si="0"/>
        <v>24326</v>
      </c>
      <c r="N13" s="304">
        <f t="shared" si="1"/>
        <v>20</v>
      </c>
      <c r="O13" s="302">
        <f t="shared" si="2"/>
        <v>24346</v>
      </c>
    </row>
    <row r="14" spans="1:15" ht="12.75" thickBot="1">
      <c r="A14" s="305"/>
      <c r="B14" s="306" t="s">
        <v>344</v>
      </c>
      <c r="C14" s="307"/>
      <c r="D14" s="634">
        <v>94</v>
      </c>
      <c r="E14" s="308">
        <v>1</v>
      </c>
      <c r="F14" s="308">
        <v>0</v>
      </c>
      <c r="G14" s="315">
        <f t="shared" si="3"/>
        <v>95</v>
      </c>
      <c r="H14" s="647">
        <v>1</v>
      </c>
      <c r="I14" s="647">
        <v>0</v>
      </c>
      <c r="J14" s="647">
        <v>0</v>
      </c>
      <c r="K14" s="647">
        <v>0</v>
      </c>
      <c r="L14" s="316">
        <f t="shared" si="4"/>
        <v>1</v>
      </c>
      <c r="M14" s="708">
        <f t="shared" si="0"/>
        <v>96</v>
      </c>
      <c r="N14" s="318">
        <f t="shared" si="1"/>
        <v>0</v>
      </c>
      <c r="O14" s="327">
        <f t="shared" si="2"/>
        <v>96</v>
      </c>
    </row>
    <row r="15" spans="1:15" ht="12">
      <c r="A15" s="297">
        <v>415</v>
      </c>
      <c r="B15" s="320" t="s">
        <v>419</v>
      </c>
      <c r="C15" s="268"/>
      <c r="D15" s="633">
        <v>1039</v>
      </c>
      <c r="E15" s="299">
        <v>0</v>
      </c>
      <c r="F15" s="299">
        <v>1300</v>
      </c>
      <c r="G15" s="300">
        <f t="shared" si="3"/>
        <v>2339</v>
      </c>
      <c r="H15" s="648">
        <v>4</v>
      </c>
      <c r="I15" s="646">
        <v>4</v>
      </c>
      <c r="J15" s="646">
        <v>0</v>
      </c>
      <c r="K15" s="646">
        <v>48</v>
      </c>
      <c r="L15" s="302">
        <f t="shared" si="4"/>
        <v>56</v>
      </c>
      <c r="M15" s="303">
        <f t="shared" si="0"/>
        <v>1043</v>
      </c>
      <c r="N15" s="304">
        <f t="shared" si="1"/>
        <v>1352</v>
      </c>
      <c r="O15" s="302">
        <f t="shared" si="2"/>
        <v>2395</v>
      </c>
    </row>
    <row r="16" spans="1:15" ht="12.75" thickBot="1">
      <c r="A16" s="305"/>
      <c r="B16" s="306" t="s">
        <v>344</v>
      </c>
      <c r="C16" s="307"/>
      <c r="D16" s="634">
        <v>0</v>
      </c>
      <c r="E16" s="308">
        <v>0</v>
      </c>
      <c r="F16" s="308">
        <v>0</v>
      </c>
      <c r="G16" s="309">
        <f t="shared" si="3"/>
        <v>0</v>
      </c>
      <c r="H16" s="647">
        <v>0</v>
      </c>
      <c r="I16" s="647">
        <v>0</v>
      </c>
      <c r="J16" s="647">
        <v>0</v>
      </c>
      <c r="K16" s="647">
        <v>0</v>
      </c>
      <c r="L16" s="316">
        <f t="shared" si="4"/>
        <v>0</v>
      </c>
      <c r="M16" s="317">
        <f t="shared" si="0"/>
        <v>0</v>
      </c>
      <c r="N16" s="318">
        <f t="shared" si="1"/>
        <v>0</v>
      </c>
      <c r="O16" s="319">
        <f t="shared" si="2"/>
        <v>0</v>
      </c>
    </row>
    <row r="17" spans="1:15" ht="12">
      <c r="A17" s="297">
        <v>421</v>
      </c>
      <c r="B17" s="314" t="s">
        <v>346</v>
      </c>
      <c r="C17" s="268"/>
      <c r="D17" s="633">
        <v>6521</v>
      </c>
      <c r="E17" s="299">
        <v>7015</v>
      </c>
      <c r="F17" s="299">
        <v>870</v>
      </c>
      <c r="G17" s="300">
        <f t="shared" si="3"/>
        <v>14406</v>
      </c>
      <c r="H17" s="646">
        <v>38</v>
      </c>
      <c r="I17" s="646">
        <v>18</v>
      </c>
      <c r="J17" s="646">
        <v>0</v>
      </c>
      <c r="K17" s="646">
        <v>326</v>
      </c>
      <c r="L17" s="302">
        <f t="shared" si="4"/>
        <v>382</v>
      </c>
      <c r="M17" s="303">
        <f t="shared" si="0"/>
        <v>13574</v>
      </c>
      <c r="N17" s="304">
        <f t="shared" si="1"/>
        <v>1214</v>
      </c>
      <c r="O17" s="302">
        <f t="shared" si="2"/>
        <v>14788</v>
      </c>
    </row>
    <row r="18" spans="1:15" ht="12.75" thickBot="1">
      <c r="A18" s="305"/>
      <c r="B18" s="306" t="s">
        <v>344</v>
      </c>
      <c r="C18" s="307"/>
      <c r="D18" s="634">
        <v>1</v>
      </c>
      <c r="E18" s="308">
        <v>0</v>
      </c>
      <c r="F18" s="308">
        <v>1</v>
      </c>
      <c r="G18" s="309">
        <f t="shared" si="3"/>
        <v>2</v>
      </c>
      <c r="H18" s="647">
        <v>0</v>
      </c>
      <c r="I18" s="647">
        <v>0</v>
      </c>
      <c r="J18" s="647">
        <v>0</v>
      </c>
      <c r="K18" s="647">
        <v>3</v>
      </c>
      <c r="L18" s="310">
        <f t="shared" si="4"/>
        <v>3</v>
      </c>
      <c r="M18" s="311">
        <f t="shared" si="0"/>
        <v>1</v>
      </c>
      <c r="N18" s="312">
        <f t="shared" si="1"/>
        <v>4</v>
      </c>
      <c r="O18" s="313">
        <f t="shared" si="2"/>
        <v>5</v>
      </c>
    </row>
    <row r="19" spans="1:15" ht="12">
      <c r="A19" s="297">
        <v>423</v>
      </c>
      <c r="B19" s="321" t="s">
        <v>347</v>
      </c>
      <c r="C19" s="268"/>
      <c r="D19" s="633">
        <v>1039</v>
      </c>
      <c r="E19" s="299">
        <v>0</v>
      </c>
      <c r="F19" s="299">
        <v>1941</v>
      </c>
      <c r="G19" s="300">
        <f t="shared" si="3"/>
        <v>2980</v>
      </c>
      <c r="H19" s="646">
        <v>21</v>
      </c>
      <c r="I19" s="646">
        <v>58</v>
      </c>
      <c r="J19" s="646">
        <v>0</v>
      </c>
      <c r="K19" s="646">
        <v>717</v>
      </c>
      <c r="L19" s="322">
        <f t="shared" si="4"/>
        <v>796</v>
      </c>
      <c r="M19" s="323">
        <f t="shared" si="0"/>
        <v>1060</v>
      </c>
      <c r="N19" s="324">
        <f t="shared" si="1"/>
        <v>2716</v>
      </c>
      <c r="O19" s="302">
        <f t="shared" si="2"/>
        <v>3776</v>
      </c>
    </row>
    <row r="20" spans="1:15" ht="12.75" thickBot="1">
      <c r="A20" s="305"/>
      <c r="B20" s="306" t="s">
        <v>344</v>
      </c>
      <c r="C20" s="307"/>
      <c r="D20" s="634">
        <v>0</v>
      </c>
      <c r="E20" s="308">
        <v>0</v>
      </c>
      <c r="F20" s="308">
        <v>0</v>
      </c>
      <c r="G20" s="315">
        <f t="shared" si="3"/>
        <v>0</v>
      </c>
      <c r="H20" s="647">
        <v>0</v>
      </c>
      <c r="I20" s="647">
        <v>0</v>
      </c>
      <c r="J20" s="647">
        <v>0</v>
      </c>
      <c r="K20" s="647">
        <v>0</v>
      </c>
      <c r="L20" s="316">
        <f t="shared" si="4"/>
        <v>0</v>
      </c>
      <c r="M20" s="317">
        <f t="shared" si="0"/>
        <v>0</v>
      </c>
      <c r="N20" s="318">
        <f t="shared" si="1"/>
        <v>0</v>
      </c>
      <c r="O20" s="319">
        <f t="shared" si="2"/>
        <v>0</v>
      </c>
    </row>
    <row r="21" spans="1:15" ht="12">
      <c r="A21" s="297">
        <v>435</v>
      </c>
      <c r="B21" s="321" t="s">
        <v>348</v>
      </c>
      <c r="C21" s="268"/>
      <c r="D21" s="633">
        <v>0</v>
      </c>
      <c r="E21" s="299">
        <v>0</v>
      </c>
      <c r="F21" s="299">
        <v>614</v>
      </c>
      <c r="G21" s="300">
        <f t="shared" si="3"/>
        <v>614</v>
      </c>
      <c r="H21" s="646">
        <v>0</v>
      </c>
      <c r="I21" s="646">
        <v>1</v>
      </c>
      <c r="J21" s="646">
        <v>745</v>
      </c>
      <c r="K21" s="646">
        <v>0</v>
      </c>
      <c r="L21" s="302">
        <f t="shared" si="4"/>
        <v>746</v>
      </c>
      <c r="M21" s="709">
        <f t="shared" si="0"/>
        <v>0</v>
      </c>
      <c r="N21" s="304">
        <f>F21+I21+J21+K21</f>
        <v>1360</v>
      </c>
      <c r="O21" s="302">
        <f t="shared" si="2"/>
        <v>1360</v>
      </c>
    </row>
    <row r="22" spans="1:15" ht="12.75" thickBot="1">
      <c r="A22" s="305"/>
      <c r="B22" s="306" t="s">
        <v>344</v>
      </c>
      <c r="C22" s="307"/>
      <c r="D22" s="634">
        <v>0</v>
      </c>
      <c r="E22" s="308">
        <v>0</v>
      </c>
      <c r="F22" s="308">
        <v>0</v>
      </c>
      <c r="G22" s="309">
        <f t="shared" si="3"/>
        <v>0</v>
      </c>
      <c r="H22" s="647">
        <v>0</v>
      </c>
      <c r="I22" s="647">
        <v>0</v>
      </c>
      <c r="J22" s="647">
        <v>0</v>
      </c>
      <c r="K22" s="647">
        <v>0</v>
      </c>
      <c r="L22" s="316">
        <f t="shared" si="4"/>
        <v>0</v>
      </c>
      <c r="M22" s="317">
        <f t="shared" si="0"/>
        <v>0</v>
      </c>
      <c r="N22" s="312">
        <f t="shared" si="1"/>
        <v>0</v>
      </c>
      <c r="O22" s="313">
        <f t="shared" si="2"/>
        <v>0</v>
      </c>
    </row>
    <row r="23" spans="1:15" ht="12">
      <c r="A23" s="297">
        <v>439</v>
      </c>
      <c r="B23" s="321" t="s">
        <v>349</v>
      </c>
      <c r="C23" s="268"/>
      <c r="D23" s="633">
        <v>0</v>
      </c>
      <c r="E23" s="299">
        <v>0</v>
      </c>
      <c r="F23" s="299">
        <v>1725</v>
      </c>
      <c r="G23" s="300">
        <f t="shared" si="3"/>
        <v>1725</v>
      </c>
      <c r="H23" s="646">
        <v>0</v>
      </c>
      <c r="I23" s="646">
        <v>0</v>
      </c>
      <c r="J23" s="646">
        <v>0</v>
      </c>
      <c r="K23" s="646">
        <v>3700</v>
      </c>
      <c r="L23" s="302">
        <f t="shared" si="4"/>
        <v>3700</v>
      </c>
      <c r="M23" s="709">
        <f t="shared" si="0"/>
        <v>0</v>
      </c>
      <c r="N23" s="304">
        <f t="shared" si="1"/>
        <v>5425</v>
      </c>
      <c r="O23" s="325">
        <f t="shared" si="2"/>
        <v>5425</v>
      </c>
    </row>
    <row r="24" spans="1:15" ht="12.75" thickBot="1">
      <c r="A24" s="305"/>
      <c r="B24" s="306" t="s">
        <v>344</v>
      </c>
      <c r="C24" s="307"/>
      <c r="D24" s="634">
        <v>0</v>
      </c>
      <c r="E24" s="308">
        <v>0</v>
      </c>
      <c r="F24" s="308">
        <v>0</v>
      </c>
      <c r="G24" s="315">
        <f t="shared" si="3"/>
        <v>0</v>
      </c>
      <c r="H24" s="647">
        <v>0</v>
      </c>
      <c r="I24" s="647">
        <v>0</v>
      </c>
      <c r="J24" s="647">
        <v>0</v>
      </c>
      <c r="K24" s="647">
        <v>0</v>
      </c>
      <c r="L24" s="316">
        <f t="shared" si="4"/>
        <v>0</v>
      </c>
      <c r="M24" s="317">
        <f t="shared" si="0"/>
        <v>0</v>
      </c>
      <c r="N24" s="318">
        <f t="shared" si="1"/>
        <v>0</v>
      </c>
      <c r="O24" s="319">
        <f t="shared" si="2"/>
        <v>0</v>
      </c>
    </row>
    <row r="25" spans="1:15" ht="12">
      <c r="A25" s="297">
        <v>453</v>
      </c>
      <c r="B25" s="321" t="s">
        <v>350</v>
      </c>
      <c r="C25" s="268"/>
      <c r="D25" s="633">
        <v>52</v>
      </c>
      <c r="E25" s="299">
        <v>1</v>
      </c>
      <c r="F25" s="299">
        <v>1869</v>
      </c>
      <c r="G25" s="300">
        <f t="shared" si="3"/>
        <v>1922</v>
      </c>
      <c r="H25" s="646">
        <v>0</v>
      </c>
      <c r="I25" s="646">
        <v>2</v>
      </c>
      <c r="J25" s="646">
        <v>0</v>
      </c>
      <c r="K25" s="646">
        <v>9</v>
      </c>
      <c r="L25" s="302">
        <f t="shared" si="4"/>
        <v>11</v>
      </c>
      <c r="M25" s="303">
        <f t="shared" si="0"/>
        <v>53</v>
      </c>
      <c r="N25" s="304">
        <f t="shared" si="1"/>
        <v>1880</v>
      </c>
      <c r="O25" s="302">
        <f t="shared" si="2"/>
        <v>1933</v>
      </c>
    </row>
    <row r="26" spans="1:15" ht="12.75" thickBot="1">
      <c r="A26" s="305"/>
      <c r="B26" s="306" t="s">
        <v>344</v>
      </c>
      <c r="C26" s="307"/>
      <c r="D26" s="634">
        <v>0</v>
      </c>
      <c r="E26" s="308">
        <v>0</v>
      </c>
      <c r="F26" s="308">
        <v>0</v>
      </c>
      <c r="G26" s="315">
        <f t="shared" si="3"/>
        <v>0</v>
      </c>
      <c r="H26" s="647">
        <v>0</v>
      </c>
      <c r="I26" s="647">
        <v>0</v>
      </c>
      <c r="J26" s="647">
        <v>0</v>
      </c>
      <c r="K26" s="647">
        <v>0</v>
      </c>
      <c r="L26" s="316">
        <f t="shared" si="4"/>
        <v>0</v>
      </c>
      <c r="M26" s="317">
        <f t="shared" si="0"/>
        <v>0</v>
      </c>
      <c r="N26" s="326">
        <f t="shared" si="1"/>
        <v>0</v>
      </c>
      <c r="O26" s="327">
        <f t="shared" si="2"/>
        <v>0</v>
      </c>
    </row>
    <row r="27" spans="1:15" s="257" customFormat="1" ht="12">
      <c r="A27" s="297"/>
      <c r="B27" s="328"/>
      <c r="C27" s="268"/>
      <c r="D27" s="633"/>
      <c r="E27" s="299"/>
      <c r="F27" s="299"/>
      <c r="G27" s="329"/>
      <c r="H27" s="646"/>
      <c r="I27" s="646"/>
      <c r="J27" s="646"/>
      <c r="K27" s="646"/>
      <c r="L27" s="330"/>
      <c r="M27" s="304"/>
      <c r="N27" s="304"/>
      <c r="O27" s="302"/>
    </row>
    <row r="28" spans="1:15" s="257" customFormat="1" ht="12">
      <c r="A28" s="331" t="s">
        <v>351</v>
      </c>
      <c r="B28" s="332"/>
      <c r="C28" s="357"/>
      <c r="D28" s="635">
        <v>-4082</v>
      </c>
      <c r="E28" s="334">
        <v>0</v>
      </c>
      <c r="F28" s="333">
        <v>-1053</v>
      </c>
      <c r="G28" s="335">
        <f>F28+D28</f>
        <v>-5135</v>
      </c>
      <c r="H28" s="649">
        <v>0</v>
      </c>
      <c r="I28" s="649">
        <v>0</v>
      </c>
      <c r="J28" s="649">
        <v>0</v>
      </c>
      <c r="K28" s="649">
        <v>0</v>
      </c>
      <c r="L28" s="336">
        <f t="shared" si="4"/>
        <v>0</v>
      </c>
      <c r="M28" s="337">
        <f>D28+E28+H28</f>
        <v>-4082</v>
      </c>
      <c r="N28" s="338">
        <f>F28+I28+J28+K28</f>
        <v>-1053</v>
      </c>
      <c r="O28" s="339">
        <f>M28+N28</f>
        <v>-5135</v>
      </c>
    </row>
    <row r="29" spans="1:15" s="257" customFormat="1" ht="12">
      <c r="A29" s="297"/>
      <c r="B29" s="328"/>
      <c r="C29" s="268"/>
      <c r="D29" s="636"/>
      <c r="E29" s="301"/>
      <c r="F29" s="301"/>
      <c r="G29" s="300"/>
      <c r="H29" s="301"/>
      <c r="I29" s="301"/>
      <c r="J29" s="301"/>
      <c r="K29" s="301"/>
      <c r="L29" s="330"/>
      <c r="M29" s="304"/>
      <c r="N29" s="304"/>
      <c r="O29" s="302"/>
    </row>
    <row r="30" spans="1:15" ht="12">
      <c r="A30" s="297" t="s">
        <v>352</v>
      </c>
      <c r="B30" s="328"/>
      <c r="C30" s="268"/>
      <c r="D30" s="636">
        <f aca="true" t="shared" si="5" ref="D30:K30">D11+D13+D15+D17+D19+D25+D28+D21++D23</f>
        <v>75860</v>
      </c>
      <c r="E30" s="301">
        <f t="shared" si="5"/>
        <v>17914</v>
      </c>
      <c r="F30" s="301">
        <f t="shared" si="5"/>
        <v>10022</v>
      </c>
      <c r="G30" s="300">
        <f t="shared" si="5"/>
        <v>103796</v>
      </c>
      <c r="H30" s="615">
        <f t="shared" si="5"/>
        <v>625</v>
      </c>
      <c r="I30" s="616">
        <f t="shared" si="5"/>
        <v>106</v>
      </c>
      <c r="J30" s="616">
        <f t="shared" si="5"/>
        <v>745</v>
      </c>
      <c r="K30" s="616">
        <f t="shared" si="5"/>
        <v>10891</v>
      </c>
      <c r="L30" s="302">
        <f t="shared" si="4"/>
        <v>12367</v>
      </c>
      <c r="M30" s="303">
        <f>+M11+M13+M15+M17+M19+M21+M23+M25+M28</f>
        <v>94399</v>
      </c>
      <c r="N30" s="304">
        <f>+N11+N13+N15+N17+N19+N21+N23+N25+N28</f>
        <v>21764</v>
      </c>
      <c r="O30" s="302">
        <f>+O11+O13+O15+O17+O19+O21+O23+O25+O28</f>
        <v>116163</v>
      </c>
    </row>
    <row r="31" spans="1:15" ht="12">
      <c r="A31" s="341" t="s">
        <v>353</v>
      </c>
      <c r="B31" s="342"/>
      <c r="C31" s="343"/>
      <c r="D31" s="637">
        <f aca="true" t="shared" si="6" ref="D31:K31">+D12+D14+D16+D18+D20+D22+D24+D26</f>
        <v>3919</v>
      </c>
      <c r="E31" s="344">
        <f t="shared" si="6"/>
        <v>316</v>
      </c>
      <c r="F31" s="344">
        <f t="shared" si="6"/>
        <v>18</v>
      </c>
      <c r="G31" s="345">
        <f t="shared" si="6"/>
        <v>4253</v>
      </c>
      <c r="H31" s="614">
        <f t="shared" si="6"/>
        <v>15</v>
      </c>
      <c r="I31" s="344">
        <f t="shared" si="6"/>
        <v>1</v>
      </c>
      <c r="J31" s="344">
        <f t="shared" si="6"/>
        <v>0</v>
      </c>
      <c r="K31" s="344">
        <f t="shared" si="6"/>
        <v>199</v>
      </c>
      <c r="L31" s="346">
        <f t="shared" si="4"/>
        <v>215</v>
      </c>
      <c r="M31" s="347">
        <f>+M12+M14+M16+M18++M20+M22+M24+M26</f>
        <v>4250</v>
      </c>
      <c r="N31" s="348">
        <f>+N12+N14+N16+N18++N20+N22+N24+N26</f>
        <v>218</v>
      </c>
      <c r="O31" s="346">
        <f>+O12+O14+O16+O18++O20+O22+O24+O26</f>
        <v>4468</v>
      </c>
    </row>
    <row r="32" spans="1:15" ht="12">
      <c r="A32" s="349" t="s">
        <v>354</v>
      </c>
      <c r="B32" s="350"/>
      <c r="C32" s="350"/>
      <c r="D32" s="638">
        <f>SUM(D30:D31)</f>
        <v>79779</v>
      </c>
      <c r="E32" s="351">
        <f aca="true" t="shared" si="7" ref="E32:O32">SUM(E30:E31)</f>
        <v>18230</v>
      </c>
      <c r="F32" s="351">
        <f t="shared" si="7"/>
        <v>10040</v>
      </c>
      <c r="G32" s="352">
        <f t="shared" si="7"/>
        <v>108049</v>
      </c>
      <c r="H32" s="617">
        <f t="shared" si="7"/>
        <v>640</v>
      </c>
      <c r="I32" s="618">
        <f t="shared" si="7"/>
        <v>107</v>
      </c>
      <c r="J32" s="618">
        <f t="shared" si="7"/>
        <v>745</v>
      </c>
      <c r="K32" s="618">
        <f t="shared" si="7"/>
        <v>11090</v>
      </c>
      <c r="L32" s="353">
        <f>SUM(L30:L31)</f>
        <v>12582</v>
      </c>
      <c r="M32" s="354">
        <f t="shared" si="7"/>
        <v>98649</v>
      </c>
      <c r="N32" s="355">
        <f t="shared" si="7"/>
        <v>21982</v>
      </c>
      <c r="O32" s="353">
        <f t="shared" si="7"/>
        <v>120631</v>
      </c>
    </row>
    <row r="33" spans="1:15" ht="12">
      <c r="A33" s="297"/>
      <c r="B33" s="328"/>
      <c r="C33" s="268"/>
      <c r="D33" s="636"/>
      <c r="E33" s="301"/>
      <c r="F33" s="301"/>
      <c r="G33" s="300"/>
      <c r="H33" s="340"/>
      <c r="I33" s="301"/>
      <c r="J33" s="301"/>
      <c r="K33" s="301"/>
      <c r="L33" s="302"/>
      <c r="M33" s="303"/>
      <c r="N33" s="304"/>
      <c r="O33" s="302"/>
    </row>
    <row r="34" spans="1:15" ht="12">
      <c r="A34" s="297"/>
      <c r="B34" s="328"/>
      <c r="C34" s="268"/>
      <c r="D34" s="636"/>
      <c r="E34" s="301"/>
      <c r="F34" s="301"/>
      <c r="G34" s="300"/>
      <c r="H34" s="340"/>
      <c r="I34" s="301"/>
      <c r="J34" s="301"/>
      <c r="K34" s="301"/>
      <c r="L34" s="302"/>
      <c r="M34" s="303"/>
      <c r="N34" s="304"/>
      <c r="O34" s="302"/>
    </row>
    <row r="35" spans="1:15" ht="12">
      <c r="A35" s="297">
        <v>481</v>
      </c>
      <c r="B35" s="328" t="s">
        <v>355</v>
      </c>
      <c r="C35" s="268"/>
      <c r="D35" s="639">
        <v>6352</v>
      </c>
      <c r="E35" s="356">
        <v>3829</v>
      </c>
      <c r="F35" s="356">
        <v>600</v>
      </c>
      <c r="G35" s="300">
        <f>SUM(D35:F35)</f>
        <v>10781</v>
      </c>
      <c r="H35" s="646">
        <v>181</v>
      </c>
      <c r="I35" s="646">
        <v>3</v>
      </c>
      <c r="J35" s="646">
        <v>0</v>
      </c>
      <c r="K35" s="646">
        <v>347</v>
      </c>
      <c r="L35" s="330">
        <f t="shared" si="4"/>
        <v>531</v>
      </c>
      <c r="M35" s="304">
        <f>D35+E35+H35</f>
        <v>10362</v>
      </c>
      <c r="N35" s="304">
        <f>F35+I35+J35+K35</f>
        <v>950</v>
      </c>
      <c r="O35" s="302">
        <f>M35+N35</f>
        <v>11312</v>
      </c>
    </row>
    <row r="36" spans="1:15" ht="12">
      <c r="A36" s="297"/>
      <c r="B36" s="328"/>
      <c r="C36" s="268"/>
      <c r="D36" s="639"/>
      <c r="E36" s="356"/>
      <c r="F36" s="356"/>
      <c r="G36" s="300"/>
      <c r="H36" s="646"/>
      <c r="I36" s="646"/>
      <c r="J36" s="646"/>
      <c r="K36" s="646"/>
      <c r="L36" s="330">
        <f t="shared" si="4"/>
        <v>0</v>
      </c>
      <c r="M36" s="304"/>
      <c r="N36" s="304"/>
      <c r="O36" s="302"/>
    </row>
    <row r="37" spans="1:15" ht="12">
      <c r="A37" s="331" t="s">
        <v>356</v>
      </c>
      <c r="B37" s="332"/>
      <c r="C37" s="357"/>
      <c r="D37" s="640">
        <v>4082</v>
      </c>
      <c r="E37" s="334">
        <v>0</v>
      </c>
      <c r="F37" s="334">
        <v>1053</v>
      </c>
      <c r="G37" s="335">
        <f>F37+D37</f>
        <v>5135</v>
      </c>
      <c r="H37" s="650">
        <v>0</v>
      </c>
      <c r="I37" s="650">
        <v>0</v>
      </c>
      <c r="J37" s="650">
        <v>0</v>
      </c>
      <c r="K37" s="650">
        <v>0</v>
      </c>
      <c r="L37" s="358"/>
      <c r="M37" s="337">
        <f>D37+E37+H37</f>
        <v>4082</v>
      </c>
      <c r="N37" s="338">
        <f>F37+I37+J37+K37</f>
        <v>1053</v>
      </c>
      <c r="O37" s="339">
        <f>M37+N37</f>
        <v>5135</v>
      </c>
    </row>
    <row r="38" spans="1:15" ht="12.75" thickBot="1">
      <c r="A38" s="359" t="s">
        <v>353</v>
      </c>
      <c r="B38" s="360"/>
      <c r="C38" s="360"/>
      <c r="D38" s="641">
        <f>+D35+D37</f>
        <v>10434</v>
      </c>
      <c r="E38" s="361">
        <f aca="true" t="shared" si="8" ref="E38:O38">+E35+E37</f>
        <v>3829</v>
      </c>
      <c r="F38" s="361">
        <f t="shared" si="8"/>
        <v>1653</v>
      </c>
      <c r="G38" s="362">
        <f t="shared" si="8"/>
        <v>15916</v>
      </c>
      <c r="H38" s="363">
        <f t="shared" si="8"/>
        <v>181</v>
      </c>
      <c r="I38" s="361">
        <f t="shared" si="8"/>
        <v>3</v>
      </c>
      <c r="J38" s="361">
        <f t="shared" si="8"/>
        <v>0</v>
      </c>
      <c r="K38" s="361">
        <f t="shared" si="8"/>
        <v>347</v>
      </c>
      <c r="L38" s="362">
        <f t="shared" si="8"/>
        <v>531</v>
      </c>
      <c r="M38" s="364">
        <f t="shared" si="8"/>
        <v>14444</v>
      </c>
      <c r="N38" s="365">
        <f t="shared" si="8"/>
        <v>2003</v>
      </c>
      <c r="O38" s="362">
        <f t="shared" si="8"/>
        <v>16447</v>
      </c>
    </row>
    <row r="39" spans="1:15" ht="16.5" customHeight="1" thickBot="1" thickTop="1">
      <c r="A39" s="366" t="s">
        <v>252</v>
      </c>
      <c r="B39" s="367"/>
      <c r="C39" s="368"/>
      <c r="D39" s="371">
        <f>+D38+D32</f>
        <v>90213</v>
      </c>
      <c r="E39" s="369">
        <f aca="true" t="shared" si="9" ref="E39:O39">+E38+E32</f>
        <v>22059</v>
      </c>
      <c r="F39" s="369">
        <f t="shared" si="9"/>
        <v>11693</v>
      </c>
      <c r="G39" s="370">
        <f t="shared" si="9"/>
        <v>123965</v>
      </c>
      <c r="H39" s="369">
        <f t="shared" si="9"/>
        <v>821</v>
      </c>
      <c r="I39" s="369">
        <f t="shared" si="9"/>
        <v>110</v>
      </c>
      <c r="J39" s="369">
        <f t="shared" si="9"/>
        <v>745</v>
      </c>
      <c r="K39" s="369">
        <f t="shared" si="9"/>
        <v>11437</v>
      </c>
      <c r="L39" s="370">
        <f t="shared" si="9"/>
        <v>13113</v>
      </c>
      <c r="M39" s="371">
        <f t="shared" si="9"/>
        <v>113093</v>
      </c>
      <c r="N39" s="369">
        <f t="shared" si="9"/>
        <v>23985</v>
      </c>
      <c r="O39" s="370">
        <f t="shared" si="9"/>
        <v>137078</v>
      </c>
    </row>
    <row r="40" spans="1:15" ht="16.5" customHeight="1" thickTop="1">
      <c r="A40" s="444"/>
      <c r="B40" s="445"/>
      <c r="C40" s="444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</row>
    <row r="41" spans="1:15" ht="12.75">
      <c r="A41" s="607"/>
      <c r="B41" s="609" t="s">
        <v>632</v>
      </c>
      <c r="C41" s="610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373"/>
      <c r="O41" s="373"/>
    </row>
    <row r="42" spans="1:15" ht="12">
      <c r="A42" s="603"/>
      <c r="B42" s="611"/>
      <c r="C42" s="610"/>
      <c r="D42" s="372"/>
      <c r="E42" s="372"/>
      <c r="F42" s="372"/>
      <c r="G42" s="372"/>
      <c r="H42" s="612"/>
      <c r="I42" s="611"/>
      <c r="J42" s="81"/>
      <c r="K42" s="81"/>
      <c r="L42" s="602"/>
      <c r="M42" s="613"/>
      <c r="N42" s="373"/>
      <c r="O42" s="373"/>
    </row>
    <row r="43" spans="1:15" ht="12.75">
      <c r="A43" s="374" t="s">
        <v>357</v>
      </c>
      <c r="B43" s="375"/>
      <c r="C43" s="380" t="s">
        <v>633</v>
      </c>
      <c r="D43" s="377"/>
      <c r="E43" s="377"/>
      <c r="F43" s="377"/>
      <c r="G43" s="377"/>
      <c r="H43" s="377"/>
      <c r="I43" s="377"/>
      <c r="J43" s="377"/>
      <c r="K43" s="377"/>
      <c r="L43" s="377"/>
      <c r="M43" s="378"/>
      <c r="O43" s="379"/>
    </row>
    <row r="44" spans="1:15" ht="12.75">
      <c r="A44" s="380"/>
      <c r="B44" s="375"/>
      <c r="C44" s="380" t="s">
        <v>358</v>
      </c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O44" s="379"/>
    </row>
    <row r="45" spans="1:15" ht="12.75">
      <c r="A45" s="380"/>
      <c r="B45" s="375"/>
      <c r="C45" s="380" t="s">
        <v>359</v>
      </c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O45" s="379"/>
    </row>
    <row r="46" spans="1:15" ht="12.75">
      <c r="A46" s="380"/>
      <c r="B46" s="375"/>
      <c r="C46" s="380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O46" s="379"/>
    </row>
    <row r="47" spans="1:15" ht="12.75">
      <c r="A47" s="380"/>
      <c r="B47" s="375"/>
      <c r="C47" s="380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O47" s="379"/>
    </row>
    <row r="48" spans="1:15" ht="12.75">
      <c r="A48" s="374" t="s">
        <v>360</v>
      </c>
      <c r="B48" s="381" t="s">
        <v>361</v>
      </c>
      <c r="C48" s="375" t="s">
        <v>362</v>
      </c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O48" s="258"/>
    </row>
    <row r="49" spans="1:15" ht="12.75">
      <c r="A49" s="380"/>
      <c r="B49" s="382"/>
      <c r="C49" s="375" t="s">
        <v>363</v>
      </c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O49" s="258"/>
    </row>
    <row r="50" spans="1:15" ht="12.75">
      <c r="A50" s="380"/>
      <c r="B50" s="382"/>
      <c r="C50" s="380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O50" s="379"/>
    </row>
    <row r="51" spans="1:15" ht="12.75">
      <c r="A51" s="380"/>
      <c r="B51" s="381" t="s">
        <v>364</v>
      </c>
      <c r="C51" s="375" t="s">
        <v>480</v>
      </c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O51" s="258"/>
    </row>
    <row r="52" spans="1:15" ht="12" customHeight="1">
      <c r="A52" s="380"/>
      <c r="B52" s="382"/>
      <c r="C52" s="375" t="s">
        <v>481</v>
      </c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O52" s="258"/>
    </row>
    <row r="53" spans="1:15" ht="12" customHeight="1">
      <c r="A53" s="380"/>
      <c r="B53" s="382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O53" s="258"/>
    </row>
    <row r="54" spans="1:15" ht="12.75">
      <c r="A54" s="380"/>
      <c r="B54" s="381" t="s">
        <v>365</v>
      </c>
      <c r="C54" s="375" t="s">
        <v>366</v>
      </c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O54" s="379"/>
    </row>
    <row r="55" spans="1:15" ht="12" customHeight="1">
      <c r="A55" s="380"/>
      <c r="B55" s="382"/>
      <c r="C55" s="375" t="s">
        <v>367</v>
      </c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O55" s="258"/>
    </row>
    <row r="56" spans="1:15" ht="12" customHeight="1">
      <c r="A56" s="380"/>
      <c r="B56" s="382"/>
      <c r="C56" s="380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O56" s="379"/>
    </row>
    <row r="57" spans="1:15" ht="12" customHeight="1">
      <c r="A57" s="374" t="s">
        <v>368</v>
      </c>
      <c r="B57" s="375"/>
      <c r="C57" s="603"/>
      <c r="D57" s="81"/>
      <c r="E57" s="81"/>
      <c r="F57" s="81"/>
      <c r="G57" s="602"/>
      <c r="H57" s="81"/>
      <c r="I57" s="81"/>
      <c r="J57" s="81"/>
      <c r="K57" s="81"/>
      <c r="L57" s="602"/>
      <c r="M57" s="81"/>
      <c r="O57" s="379"/>
    </row>
    <row r="58" spans="1:15" ht="12" customHeight="1">
      <c r="A58" s="380"/>
      <c r="B58" s="375"/>
      <c r="C58" s="376"/>
      <c r="D58" s="384"/>
      <c r="E58" s="377"/>
      <c r="F58" s="377"/>
      <c r="G58" s="377"/>
      <c r="H58" s="377"/>
      <c r="I58" s="377"/>
      <c r="J58" s="377"/>
      <c r="K58" s="377"/>
      <c r="L58" s="377"/>
      <c r="M58" s="377"/>
      <c r="O58" s="379"/>
    </row>
    <row r="59" spans="1:13" ht="12.75">
      <c r="A59" s="380"/>
      <c r="B59" s="375"/>
      <c r="C59" s="376" t="s">
        <v>398</v>
      </c>
      <c r="D59" s="377"/>
      <c r="E59" s="377"/>
      <c r="F59" s="377"/>
      <c r="G59" s="377"/>
      <c r="H59" s="377"/>
      <c r="I59" s="377"/>
      <c r="J59" s="377"/>
      <c r="K59" s="377"/>
      <c r="L59" s="377"/>
      <c r="M59" s="377"/>
    </row>
    <row r="60" spans="1:13" ht="12.75">
      <c r="A60" s="380"/>
      <c r="B60" s="375"/>
      <c r="C60" s="385" t="s">
        <v>369</v>
      </c>
      <c r="D60" s="377"/>
      <c r="E60" s="377"/>
      <c r="F60" s="377"/>
      <c r="G60" s="377"/>
      <c r="H60" s="377"/>
      <c r="I60" s="377"/>
      <c r="J60" s="377"/>
      <c r="K60" s="377"/>
      <c r="L60" s="377"/>
      <c r="M60" s="377"/>
    </row>
    <row r="61" spans="1:15" ht="12.75">
      <c r="A61" s="380"/>
      <c r="B61" s="375"/>
      <c r="C61" s="385" t="s">
        <v>564</v>
      </c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O61" s="379"/>
    </row>
    <row r="62" spans="1:15" ht="12.75">
      <c r="A62" s="380"/>
      <c r="B62" s="375"/>
      <c r="C62" s="375" t="s">
        <v>634</v>
      </c>
      <c r="D62" s="375"/>
      <c r="E62" s="375"/>
      <c r="F62" s="375"/>
      <c r="G62" s="375"/>
      <c r="H62" s="375"/>
      <c r="I62" s="375"/>
      <c r="J62" s="375"/>
      <c r="K62" s="375"/>
      <c r="L62" s="375"/>
      <c r="M62"/>
      <c r="O62" s="379"/>
    </row>
    <row r="63" spans="1:15" ht="12.75">
      <c r="A63" s="380"/>
      <c r="B63" s="375"/>
      <c r="C63"/>
      <c r="D63"/>
      <c r="E63"/>
      <c r="F63"/>
      <c r="G63"/>
      <c r="H63"/>
      <c r="I63"/>
      <c r="J63"/>
      <c r="K63"/>
      <c r="L63"/>
      <c r="M63"/>
      <c r="N63"/>
      <c r="O63" s="379"/>
    </row>
  </sheetData>
  <sheetProtection/>
  <mergeCells count="5">
    <mergeCell ref="A1:O1"/>
    <mergeCell ref="A2:O2"/>
    <mergeCell ref="D5:G5"/>
    <mergeCell ref="H5:L5"/>
    <mergeCell ref="A3:O3"/>
  </mergeCells>
  <printOptions horizontalCentered="1"/>
  <pageMargins left="0.4" right="0" top="0.75" bottom="0.5" header="0.25" footer="0.25"/>
  <pageSetup horizontalDpi="600" verticalDpi="600" orientation="portrait" scale="75" r:id="rId1"/>
  <headerFooter alignWithMargins="0">
    <oddFooter>&amp;C&amp;14- 16 -</oddFooter>
  </headerFooter>
  <ignoredErrors>
    <ignoredError sqref="B48 B51 B5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pane ySplit="10" topLeftCell="A59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6.7109375" style="0" customWidth="1"/>
    <col min="2" max="2" width="6.00390625" style="0" customWidth="1"/>
    <col min="3" max="3" width="51.00390625" style="0" customWidth="1"/>
    <col min="4" max="4" width="6.00390625" style="0" customWidth="1"/>
    <col min="5" max="5" width="7.57421875" style="0" customWidth="1"/>
    <col min="6" max="7" width="6.421875" style="0" customWidth="1"/>
    <col min="8" max="8" width="5.57421875" style="0" customWidth="1"/>
    <col min="9" max="9" width="7.57421875" style="0" customWidth="1"/>
    <col min="10" max="10" width="6.8515625" style="0" customWidth="1"/>
    <col min="11" max="11" width="6.28125" style="0" customWidth="1"/>
    <col min="12" max="12" width="7.00390625" style="0" customWidth="1"/>
    <col min="13" max="13" width="5.8515625" style="0" customWidth="1"/>
    <col min="14" max="14" width="6.57421875" style="0" customWidth="1"/>
    <col min="15" max="15" width="8.28125" style="0" customWidth="1"/>
    <col min="16" max="16" width="8.8515625" style="0" customWidth="1"/>
  </cols>
  <sheetData>
    <row r="1" spans="1:15" ht="26.25">
      <c r="A1" s="935" t="s">
        <v>85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</row>
    <row r="2" spans="1:15" ht="23.25">
      <c r="A2" s="936" t="s">
        <v>485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</row>
    <row r="3" spans="1:15" ht="15">
      <c r="A3" s="934" t="s">
        <v>631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</row>
    <row r="4" spans="1:15" ht="12.75">
      <c r="A4" s="198"/>
      <c r="B4" s="198"/>
      <c r="D4" s="386"/>
      <c r="E4" s="386"/>
      <c r="F4" s="386"/>
      <c r="G4" s="386"/>
      <c r="H4" s="386"/>
      <c r="I4" s="386"/>
      <c r="J4" s="386"/>
      <c r="K4" s="386"/>
      <c r="L4" s="386"/>
      <c r="M4" s="387"/>
      <c r="N4" s="387"/>
      <c r="O4" s="387"/>
    </row>
    <row r="5" spans="1:15" ht="12.75">
      <c r="A5" s="388"/>
      <c r="B5" s="292"/>
      <c r="C5" s="389"/>
      <c r="D5" s="390"/>
      <c r="E5" s="391"/>
      <c r="F5" s="391"/>
      <c r="G5" s="391"/>
      <c r="H5" s="937"/>
      <c r="I5" s="938"/>
      <c r="J5" s="938"/>
      <c r="K5" s="938"/>
      <c r="L5" s="939"/>
      <c r="M5" s="392"/>
      <c r="N5" s="393"/>
      <c r="O5" s="265"/>
    </row>
    <row r="6" spans="1:15" ht="12.75">
      <c r="A6" s="297"/>
      <c r="B6" s="394"/>
      <c r="C6" s="268"/>
      <c r="D6" s="940" t="s">
        <v>405</v>
      </c>
      <c r="E6" s="941"/>
      <c r="F6" s="941"/>
      <c r="G6" s="941"/>
      <c r="H6" s="942" t="s">
        <v>406</v>
      </c>
      <c r="I6" s="943"/>
      <c r="J6" s="943"/>
      <c r="K6" s="943"/>
      <c r="L6" s="944"/>
      <c r="M6" s="458"/>
      <c r="N6" s="459"/>
      <c r="O6" s="270"/>
    </row>
    <row r="7" spans="1:15" ht="6" customHeight="1">
      <c r="A7" s="297"/>
      <c r="B7" s="394"/>
      <c r="C7" s="268"/>
      <c r="D7" s="412"/>
      <c r="E7" s="271"/>
      <c r="F7" s="271"/>
      <c r="G7" s="271"/>
      <c r="H7" s="412"/>
      <c r="I7" s="271"/>
      <c r="J7" s="271"/>
      <c r="K7" s="271"/>
      <c r="L7" s="413"/>
      <c r="M7" s="458"/>
      <c r="N7" s="459"/>
      <c r="O7" s="270"/>
    </row>
    <row r="8" spans="1:15" ht="12.75">
      <c r="A8" s="266"/>
      <c r="B8" s="267"/>
      <c r="C8" s="395"/>
      <c r="D8" s="460"/>
      <c r="E8" s="461"/>
      <c r="F8" s="271"/>
      <c r="G8" s="461"/>
      <c r="H8" s="412" t="s">
        <v>331</v>
      </c>
      <c r="I8" s="462"/>
      <c r="J8" s="271" t="s">
        <v>332</v>
      </c>
      <c r="K8" s="737" t="s">
        <v>516</v>
      </c>
      <c r="L8" s="463"/>
      <c r="M8" s="412"/>
      <c r="N8" s="271" t="s">
        <v>333</v>
      </c>
      <c r="O8" s="413" t="s">
        <v>334</v>
      </c>
    </row>
    <row r="9" spans="1:15" ht="12.75">
      <c r="A9" s="266"/>
      <c r="B9" s="267"/>
      <c r="C9" s="395"/>
      <c r="D9" s="460"/>
      <c r="E9" s="461" t="s">
        <v>370</v>
      </c>
      <c r="F9" s="464" t="s">
        <v>336</v>
      </c>
      <c r="G9" s="461"/>
      <c r="H9" s="465" t="s">
        <v>337</v>
      </c>
      <c r="I9" s="466" t="s">
        <v>338</v>
      </c>
      <c r="J9" s="467" t="s">
        <v>336</v>
      </c>
      <c r="K9" s="466" t="s">
        <v>336</v>
      </c>
      <c r="L9" s="463"/>
      <c r="M9" s="412" t="s">
        <v>333</v>
      </c>
      <c r="N9" s="467" t="s">
        <v>336</v>
      </c>
      <c r="O9" s="413" t="s">
        <v>333</v>
      </c>
    </row>
    <row r="10" spans="1:15" ht="12.75">
      <c r="A10" s="440" t="s">
        <v>371</v>
      </c>
      <c r="B10" s="441" t="s">
        <v>372</v>
      </c>
      <c r="C10" s="442"/>
      <c r="D10" s="468" t="s">
        <v>339</v>
      </c>
      <c r="E10" s="469" t="s">
        <v>339</v>
      </c>
      <c r="F10" s="469" t="s">
        <v>339</v>
      </c>
      <c r="G10" s="469" t="s">
        <v>340</v>
      </c>
      <c r="H10" s="470" t="s">
        <v>339</v>
      </c>
      <c r="I10" s="471" t="s">
        <v>341</v>
      </c>
      <c r="J10" s="472" t="s">
        <v>339</v>
      </c>
      <c r="K10" s="471" t="s">
        <v>339</v>
      </c>
      <c r="L10" s="473" t="s">
        <v>340</v>
      </c>
      <c r="M10" s="470" t="s">
        <v>339</v>
      </c>
      <c r="N10" s="472" t="s">
        <v>339</v>
      </c>
      <c r="O10" s="474" t="s">
        <v>342</v>
      </c>
    </row>
    <row r="11" spans="1:15" ht="12.75">
      <c r="A11" s="297"/>
      <c r="B11" s="394"/>
      <c r="C11" s="268"/>
      <c r="D11" s="396"/>
      <c r="E11" s="397"/>
      <c r="F11" s="397"/>
      <c r="G11" s="457"/>
      <c r="H11" s="264"/>
      <c r="I11" s="398"/>
      <c r="J11" s="269"/>
      <c r="K11" s="397"/>
      <c r="L11" s="399"/>
      <c r="M11" s="263"/>
      <c r="N11" s="264"/>
      <c r="O11" s="265"/>
    </row>
    <row r="12" spans="1:15" ht="12.75">
      <c r="A12" s="297">
        <v>453</v>
      </c>
      <c r="B12" s="269">
        <v>34</v>
      </c>
      <c r="C12" s="268" t="s">
        <v>373</v>
      </c>
      <c r="D12" s="619">
        <v>1</v>
      </c>
      <c r="E12" s="620">
        <v>0</v>
      </c>
      <c r="F12" s="620">
        <v>2</v>
      </c>
      <c r="G12" s="447">
        <f aca="true" t="shared" si="0" ref="G12:G46">SUM(D12:F12)</f>
        <v>3</v>
      </c>
      <c r="H12" s="623">
        <v>0</v>
      </c>
      <c r="I12" s="624">
        <v>0</v>
      </c>
      <c r="J12" s="624">
        <v>0</v>
      </c>
      <c r="K12" s="624">
        <v>0</v>
      </c>
      <c r="L12" s="447">
        <f aca="true" t="shared" si="1" ref="L12:L46">SUM(H12:K12)</f>
        <v>0</v>
      </c>
      <c r="M12" s="448">
        <f aca="true" t="shared" si="2" ref="M12:M46">E12+D12+H12</f>
        <v>1</v>
      </c>
      <c r="N12" s="439">
        <f aca="true" t="shared" si="3" ref="N12:N46">K12+J12+I12+F12</f>
        <v>2</v>
      </c>
      <c r="O12" s="449">
        <f aca="true" t="shared" si="4" ref="O12:O46">M12+N12</f>
        <v>3</v>
      </c>
    </row>
    <row r="13" spans="1:15" ht="12.75">
      <c r="A13" s="297"/>
      <c r="B13" s="269">
        <v>35</v>
      </c>
      <c r="C13" s="833" t="s">
        <v>400</v>
      </c>
      <c r="D13" s="619">
        <v>0</v>
      </c>
      <c r="E13" s="620">
        <v>0</v>
      </c>
      <c r="F13" s="620">
        <v>25</v>
      </c>
      <c r="G13" s="447">
        <f t="shared" si="0"/>
        <v>25</v>
      </c>
      <c r="H13" s="623">
        <v>0</v>
      </c>
      <c r="I13" s="624">
        <v>0</v>
      </c>
      <c r="J13" s="624">
        <v>0</v>
      </c>
      <c r="K13" s="624">
        <v>0</v>
      </c>
      <c r="L13" s="447">
        <f t="shared" si="1"/>
        <v>0</v>
      </c>
      <c r="M13" s="448">
        <f t="shared" si="2"/>
        <v>0</v>
      </c>
      <c r="N13" s="439">
        <f t="shared" si="3"/>
        <v>25</v>
      </c>
      <c r="O13" s="449">
        <f t="shared" si="4"/>
        <v>25</v>
      </c>
    </row>
    <row r="14" spans="1:15" ht="12.75">
      <c r="A14" s="297"/>
      <c r="B14" s="269">
        <v>36</v>
      </c>
      <c r="C14" s="833" t="s">
        <v>569</v>
      </c>
      <c r="D14" s="619">
        <v>0</v>
      </c>
      <c r="E14" s="620">
        <v>0</v>
      </c>
      <c r="F14" s="620">
        <v>10</v>
      </c>
      <c r="G14" s="447">
        <f t="shared" si="0"/>
        <v>10</v>
      </c>
      <c r="H14" s="623">
        <v>0</v>
      </c>
      <c r="I14" s="624">
        <v>0</v>
      </c>
      <c r="J14" s="624">
        <v>0</v>
      </c>
      <c r="K14" s="624">
        <v>1</v>
      </c>
      <c r="L14" s="447">
        <f t="shared" si="1"/>
        <v>1</v>
      </c>
      <c r="M14" s="448">
        <f t="shared" si="2"/>
        <v>0</v>
      </c>
      <c r="N14" s="439">
        <f t="shared" si="3"/>
        <v>11</v>
      </c>
      <c r="O14" s="449">
        <f t="shared" si="4"/>
        <v>11</v>
      </c>
    </row>
    <row r="15" spans="1:15" ht="12.75">
      <c r="A15" s="297"/>
      <c r="B15" s="269" t="s">
        <v>556</v>
      </c>
      <c r="C15" s="423" t="s">
        <v>557</v>
      </c>
      <c r="D15" s="619">
        <v>0</v>
      </c>
      <c r="E15" s="620">
        <v>0</v>
      </c>
      <c r="F15" s="620">
        <v>10</v>
      </c>
      <c r="G15" s="447">
        <f t="shared" si="0"/>
        <v>10</v>
      </c>
      <c r="H15" s="623">
        <v>0</v>
      </c>
      <c r="I15" s="624">
        <v>0</v>
      </c>
      <c r="J15" s="624">
        <v>0</v>
      </c>
      <c r="K15" s="624">
        <v>0</v>
      </c>
      <c r="L15" s="447">
        <f t="shared" si="1"/>
        <v>0</v>
      </c>
      <c r="M15" s="448">
        <f t="shared" si="2"/>
        <v>0</v>
      </c>
      <c r="N15" s="439">
        <f t="shared" si="3"/>
        <v>10</v>
      </c>
      <c r="O15" s="449">
        <f t="shared" si="4"/>
        <v>10</v>
      </c>
    </row>
    <row r="16" spans="1:15" ht="12.75">
      <c r="A16" s="297"/>
      <c r="B16" s="269">
        <v>39</v>
      </c>
      <c r="C16" s="833" t="s">
        <v>566</v>
      </c>
      <c r="D16" s="619">
        <v>0</v>
      </c>
      <c r="E16" s="620">
        <v>0</v>
      </c>
      <c r="F16" s="620">
        <v>13</v>
      </c>
      <c r="G16" s="447">
        <f t="shared" si="0"/>
        <v>13</v>
      </c>
      <c r="H16" s="623">
        <v>0</v>
      </c>
      <c r="I16" s="624">
        <v>0</v>
      </c>
      <c r="J16" s="624">
        <v>0</v>
      </c>
      <c r="K16" s="624">
        <v>0</v>
      </c>
      <c r="L16" s="447">
        <f t="shared" si="1"/>
        <v>0</v>
      </c>
      <c r="M16" s="448">
        <f t="shared" si="2"/>
        <v>0</v>
      </c>
      <c r="N16" s="439">
        <f t="shared" si="3"/>
        <v>13</v>
      </c>
      <c r="O16" s="449">
        <f t="shared" si="4"/>
        <v>13</v>
      </c>
    </row>
    <row r="17" spans="1:15" ht="12.75">
      <c r="A17" s="297"/>
      <c r="B17" s="269">
        <v>40</v>
      </c>
      <c r="C17" s="833" t="s">
        <v>524</v>
      </c>
      <c r="D17" s="619">
        <v>8</v>
      </c>
      <c r="E17" s="620">
        <v>0</v>
      </c>
      <c r="F17" s="620">
        <v>77</v>
      </c>
      <c r="G17" s="447">
        <f t="shared" si="0"/>
        <v>85</v>
      </c>
      <c r="H17" s="623">
        <v>0</v>
      </c>
      <c r="I17" s="624">
        <v>0</v>
      </c>
      <c r="J17" s="624">
        <v>0</v>
      </c>
      <c r="K17" s="624">
        <v>3</v>
      </c>
      <c r="L17" s="447">
        <f t="shared" si="1"/>
        <v>3</v>
      </c>
      <c r="M17" s="448">
        <f t="shared" si="2"/>
        <v>8</v>
      </c>
      <c r="N17" s="439">
        <f t="shared" si="3"/>
        <v>80</v>
      </c>
      <c r="O17" s="449">
        <f t="shared" si="4"/>
        <v>88</v>
      </c>
    </row>
    <row r="18" spans="1:15" ht="12.75">
      <c r="A18" s="297"/>
      <c r="B18" s="269">
        <v>41</v>
      </c>
      <c r="C18" s="805" t="s">
        <v>570</v>
      </c>
      <c r="D18" s="619">
        <v>0</v>
      </c>
      <c r="E18" s="620">
        <v>0</v>
      </c>
      <c r="F18" s="620">
        <v>25</v>
      </c>
      <c r="G18" s="447">
        <f t="shared" si="0"/>
        <v>25</v>
      </c>
      <c r="H18" s="623">
        <v>0</v>
      </c>
      <c r="I18" s="624">
        <v>0</v>
      </c>
      <c r="J18" s="624">
        <v>0</v>
      </c>
      <c r="K18" s="624">
        <v>0</v>
      </c>
      <c r="L18" s="447">
        <f t="shared" si="1"/>
        <v>0</v>
      </c>
      <c r="M18" s="448">
        <f t="shared" si="2"/>
        <v>0</v>
      </c>
      <c r="N18" s="439">
        <f t="shared" si="3"/>
        <v>25</v>
      </c>
      <c r="O18" s="449">
        <f t="shared" si="4"/>
        <v>25</v>
      </c>
    </row>
    <row r="19" spans="1:15" ht="12.75">
      <c r="A19" s="297"/>
      <c r="B19" s="269">
        <v>42</v>
      </c>
      <c r="C19" s="833" t="s">
        <v>374</v>
      </c>
      <c r="D19" s="619">
        <v>1</v>
      </c>
      <c r="E19" s="620">
        <v>0</v>
      </c>
      <c r="F19" s="620">
        <v>3</v>
      </c>
      <c r="G19" s="447">
        <f t="shared" si="0"/>
        <v>4</v>
      </c>
      <c r="H19" s="623">
        <v>0</v>
      </c>
      <c r="I19" s="624">
        <v>0</v>
      </c>
      <c r="J19" s="624">
        <v>0</v>
      </c>
      <c r="K19" s="624">
        <v>0</v>
      </c>
      <c r="L19" s="447">
        <f t="shared" si="1"/>
        <v>0</v>
      </c>
      <c r="M19" s="448">
        <f t="shared" si="2"/>
        <v>1</v>
      </c>
      <c r="N19" s="439">
        <f t="shared" si="3"/>
        <v>3</v>
      </c>
      <c r="O19" s="449">
        <f t="shared" si="4"/>
        <v>4</v>
      </c>
    </row>
    <row r="20" spans="1:15" ht="12.75">
      <c r="A20" s="297"/>
      <c r="B20" s="269" t="s">
        <v>558</v>
      </c>
      <c r="C20" s="268" t="s">
        <v>559</v>
      </c>
      <c r="D20" s="619">
        <v>1</v>
      </c>
      <c r="E20" s="620">
        <v>0</v>
      </c>
      <c r="F20" s="620">
        <v>10</v>
      </c>
      <c r="G20" s="447">
        <f t="shared" si="0"/>
        <v>11</v>
      </c>
      <c r="H20" s="623">
        <v>0</v>
      </c>
      <c r="I20" s="624">
        <v>0</v>
      </c>
      <c r="J20" s="624">
        <v>0</v>
      </c>
      <c r="K20" s="624">
        <v>0</v>
      </c>
      <c r="L20" s="447">
        <f t="shared" si="1"/>
        <v>0</v>
      </c>
      <c r="M20" s="448">
        <f t="shared" si="2"/>
        <v>1</v>
      </c>
      <c r="N20" s="439">
        <f t="shared" si="3"/>
        <v>10</v>
      </c>
      <c r="O20" s="449">
        <f t="shared" si="4"/>
        <v>11</v>
      </c>
    </row>
    <row r="21" spans="1:15" ht="12.75">
      <c r="A21" s="297"/>
      <c r="B21" s="269">
        <v>46</v>
      </c>
      <c r="C21" s="268" t="s">
        <v>375</v>
      </c>
      <c r="D21" s="619">
        <v>0</v>
      </c>
      <c r="E21" s="620">
        <v>0</v>
      </c>
      <c r="F21" s="620">
        <v>305</v>
      </c>
      <c r="G21" s="447">
        <f t="shared" si="0"/>
        <v>305</v>
      </c>
      <c r="H21" s="623">
        <v>0</v>
      </c>
      <c r="I21" s="624">
        <v>0</v>
      </c>
      <c r="J21" s="624">
        <v>0</v>
      </c>
      <c r="K21" s="624">
        <v>1</v>
      </c>
      <c r="L21" s="447">
        <f t="shared" si="1"/>
        <v>1</v>
      </c>
      <c r="M21" s="448">
        <f t="shared" si="2"/>
        <v>0</v>
      </c>
      <c r="N21" s="439">
        <f t="shared" si="3"/>
        <v>306</v>
      </c>
      <c r="O21" s="449">
        <f t="shared" si="4"/>
        <v>306</v>
      </c>
    </row>
    <row r="22" spans="1:15" ht="12.75">
      <c r="A22" s="297"/>
      <c r="B22" s="269">
        <v>47</v>
      </c>
      <c r="C22" s="268" t="s">
        <v>486</v>
      </c>
      <c r="D22" s="619">
        <v>0</v>
      </c>
      <c r="E22" s="620">
        <v>0</v>
      </c>
      <c r="F22" s="620">
        <v>14</v>
      </c>
      <c r="G22" s="447">
        <f t="shared" si="0"/>
        <v>14</v>
      </c>
      <c r="H22" s="623">
        <v>0</v>
      </c>
      <c r="I22" s="624">
        <v>0</v>
      </c>
      <c r="J22" s="624">
        <v>0</v>
      </c>
      <c r="K22" s="624">
        <v>0</v>
      </c>
      <c r="L22" s="447">
        <f t="shared" si="1"/>
        <v>0</v>
      </c>
      <c r="M22" s="448">
        <f t="shared" si="2"/>
        <v>0</v>
      </c>
      <c r="N22" s="439">
        <f t="shared" si="3"/>
        <v>14</v>
      </c>
      <c r="O22" s="449">
        <f t="shared" si="4"/>
        <v>14</v>
      </c>
    </row>
    <row r="23" spans="1:15" ht="12.75">
      <c r="A23" s="297"/>
      <c r="B23" s="269" t="s">
        <v>560</v>
      </c>
      <c r="C23" s="805" t="s">
        <v>563</v>
      </c>
      <c r="D23" s="619">
        <v>3</v>
      </c>
      <c r="E23" s="620">
        <v>0</v>
      </c>
      <c r="F23" s="620">
        <v>19</v>
      </c>
      <c r="G23" s="447">
        <f t="shared" si="0"/>
        <v>22</v>
      </c>
      <c r="H23" s="623">
        <v>0</v>
      </c>
      <c r="I23" s="624">
        <v>0</v>
      </c>
      <c r="J23" s="624">
        <v>0</v>
      </c>
      <c r="K23" s="624">
        <v>2</v>
      </c>
      <c r="L23" s="447">
        <f t="shared" si="1"/>
        <v>2</v>
      </c>
      <c r="M23" s="448">
        <f t="shared" si="2"/>
        <v>3</v>
      </c>
      <c r="N23" s="439">
        <f t="shared" si="3"/>
        <v>21</v>
      </c>
      <c r="O23" s="449">
        <f t="shared" si="4"/>
        <v>24</v>
      </c>
    </row>
    <row r="24" spans="1:15" ht="12.75">
      <c r="A24" s="297"/>
      <c r="B24" s="269">
        <v>49</v>
      </c>
      <c r="C24" s="268" t="s">
        <v>525</v>
      </c>
      <c r="D24" s="619">
        <v>0</v>
      </c>
      <c r="E24" s="620">
        <v>0</v>
      </c>
      <c r="F24" s="620">
        <v>279</v>
      </c>
      <c r="G24" s="447">
        <f t="shared" si="0"/>
        <v>279</v>
      </c>
      <c r="H24" s="623">
        <v>0</v>
      </c>
      <c r="I24" s="624">
        <v>0</v>
      </c>
      <c r="J24" s="624">
        <v>0</v>
      </c>
      <c r="K24" s="624">
        <v>1</v>
      </c>
      <c r="L24" s="447">
        <f t="shared" si="1"/>
        <v>1</v>
      </c>
      <c r="M24" s="448">
        <f t="shared" si="2"/>
        <v>0</v>
      </c>
      <c r="N24" s="439">
        <f t="shared" si="3"/>
        <v>280</v>
      </c>
      <c r="O24" s="449">
        <f t="shared" si="4"/>
        <v>280</v>
      </c>
    </row>
    <row r="25" spans="1:15" ht="12.75">
      <c r="A25" s="297"/>
      <c r="B25" s="269">
        <v>50</v>
      </c>
      <c r="C25" s="268" t="s">
        <v>402</v>
      </c>
      <c r="D25" s="619">
        <v>9</v>
      </c>
      <c r="E25" s="620">
        <v>1</v>
      </c>
      <c r="F25" s="620">
        <v>50</v>
      </c>
      <c r="G25" s="447">
        <f t="shared" si="0"/>
        <v>60</v>
      </c>
      <c r="H25" s="623">
        <v>0</v>
      </c>
      <c r="I25" s="624">
        <v>0</v>
      </c>
      <c r="J25" s="624">
        <v>0</v>
      </c>
      <c r="K25" s="624">
        <v>0</v>
      </c>
      <c r="L25" s="447">
        <f t="shared" si="1"/>
        <v>0</v>
      </c>
      <c r="M25" s="448">
        <f t="shared" si="2"/>
        <v>10</v>
      </c>
      <c r="N25" s="439">
        <f t="shared" si="3"/>
        <v>50</v>
      </c>
      <c r="O25" s="449">
        <f t="shared" si="4"/>
        <v>60</v>
      </c>
    </row>
    <row r="26" spans="1:15" ht="12.75">
      <c r="A26" s="297"/>
      <c r="B26" s="269">
        <v>51</v>
      </c>
      <c r="C26" s="604" t="s">
        <v>505</v>
      </c>
      <c r="D26" s="619">
        <v>0</v>
      </c>
      <c r="E26" s="620">
        <v>0</v>
      </c>
      <c r="F26" s="620">
        <v>143</v>
      </c>
      <c r="G26" s="447">
        <f t="shared" si="0"/>
        <v>143</v>
      </c>
      <c r="H26" s="623">
        <v>0</v>
      </c>
      <c r="I26" s="624">
        <v>0</v>
      </c>
      <c r="J26" s="624">
        <v>0</v>
      </c>
      <c r="K26" s="624">
        <v>0</v>
      </c>
      <c r="L26" s="447">
        <f t="shared" si="1"/>
        <v>0</v>
      </c>
      <c r="M26" s="448">
        <f t="shared" si="2"/>
        <v>0</v>
      </c>
      <c r="N26" s="439">
        <f t="shared" si="3"/>
        <v>143</v>
      </c>
      <c r="O26" s="449">
        <f t="shared" si="4"/>
        <v>143</v>
      </c>
    </row>
    <row r="27" spans="1:15" ht="12.75" customHeight="1">
      <c r="A27" s="297"/>
      <c r="B27" s="269">
        <v>52</v>
      </c>
      <c r="C27" s="268" t="s">
        <v>376</v>
      </c>
      <c r="D27" s="619">
        <v>0</v>
      </c>
      <c r="E27" s="620">
        <v>0</v>
      </c>
      <c r="F27" s="620">
        <v>48</v>
      </c>
      <c r="G27" s="447">
        <f t="shared" si="0"/>
        <v>48</v>
      </c>
      <c r="H27" s="623">
        <v>0</v>
      </c>
      <c r="I27" s="624">
        <v>0</v>
      </c>
      <c r="J27" s="624">
        <v>0</v>
      </c>
      <c r="K27" s="624">
        <v>0</v>
      </c>
      <c r="L27" s="447">
        <f t="shared" si="1"/>
        <v>0</v>
      </c>
      <c r="M27" s="448">
        <f t="shared" si="2"/>
        <v>0</v>
      </c>
      <c r="N27" s="439">
        <f t="shared" si="3"/>
        <v>48</v>
      </c>
      <c r="O27" s="449">
        <f t="shared" si="4"/>
        <v>48</v>
      </c>
    </row>
    <row r="28" spans="1:15" ht="12.75">
      <c r="A28" s="297"/>
      <c r="B28" s="269">
        <v>53</v>
      </c>
      <c r="C28" s="268" t="s">
        <v>377</v>
      </c>
      <c r="D28" s="619">
        <v>0</v>
      </c>
      <c r="E28" s="620">
        <v>0</v>
      </c>
      <c r="F28" s="620">
        <v>5</v>
      </c>
      <c r="G28" s="447">
        <f t="shared" si="0"/>
        <v>5</v>
      </c>
      <c r="H28" s="623">
        <v>0</v>
      </c>
      <c r="I28" s="624">
        <v>0</v>
      </c>
      <c r="J28" s="624">
        <v>0</v>
      </c>
      <c r="K28" s="624">
        <v>0</v>
      </c>
      <c r="L28" s="447">
        <f t="shared" si="1"/>
        <v>0</v>
      </c>
      <c r="M28" s="448">
        <f t="shared" si="2"/>
        <v>0</v>
      </c>
      <c r="N28" s="439">
        <f t="shared" si="3"/>
        <v>5</v>
      </c>
      <c r="O28" s="449">
        <f t="shared" si="4"/>
        <v>5</v>
      </c>
    </row>
    <row r="29" spans="1:15" ht="12.75">
      <c r="A29" s="297"/>
      <c r="B29" s="269">
        <v>54</v>
      </c>
      <c r="C29" s="268" t="s">
        <v>378</v>
      </c>
      <c r="D29" s="619">
        <v>0</v>
      </c>
      <c r="E29" s="620">
        <v>0</v>
      </c>
      <c r="F29" s="620">
        <v>231</v>
      </c>
      <c r="G29" s="447">
        <f t="shared" si="0"/>
        <v>231</v>
      </c>
      <c r="H29" s="623">
        <v>0</v>
      </c>
      <c r="I29" s="624">
        <v>0</v>
      </c>
      <c r="J29" s="624">
        <v>0</v>
      </c>
      <c r="K29" s="624">
        <v>0</v>
      </c>
      <c r="L29" s="447">
        <f t="shared" si="1"/>
        <v>0</v>
      </c>
      <c r="M29" s="448">
        <f t="shared" si="2"/>
        <v>0</v>
      </c>
      <c r="N29" s="439">
        <f t="shared" si="3"/>
        <v>231</v>
      </c>
      <c r="O29" s="449">
        <f t="shared" si="4"/>
        <v>231</v>
      </c>
    </row>
    <row r="30" spans="1:15" ht="12.75">
      <c r="A30" s="297"/>
      <c r="B30" s="269" t="s">
        <v>487</v>
      </c>
      <c r="C30" s="268" t="s">
        <v>488</v>
      </c>
      <c r="D30" s="619">
        <v>0</v>
      </c>
      <c r="E30" s="620">
        <v>0</v>
      </c>
      <c r="F30" s="620">
        <v>13</v>
      </c>
      <c r="G30" s="447">
        <f t="shared" si="0"/>
        <v>13</v>
      </c>
      <c r="H30" s="623">
        <v>0</v>
      </c>
      <c r="I30" s="624">
        <v>0</v>
      </c>
      <c r="J30" s="624">
        <v>0</v>
      </c>
      <c r="K30" s="624">
        <v>0</v>
      </c>
      <c r="L30" s="447">
        <f t="shared" si="1"/>
        <v>0</v>
      </c>
      <c r="M30" s="448">
        <f t="shared" si="2"/>
        <v>0</v>
      </c>
      <c r="N30" s="439">
        <f t="shared" si="3"/>
        <v>13</v>
      </c>
      <c r="O30" s="449">
        <f t="shared" si="4"/>
        <v>13</v>
      </c>
    </row>
    <row r="31" spans="1:15" ht="12.75">
      <c r="A31" s="297"/>
      <c r="B31" s="450">
        <v>58</v>
      </c>
      <c r="C31" s="268" t="s">
        <v>403</v>
      </c>
      <c r="D31" s="619">
        <v>0</v>
      </c>
      <c r="E31" s="620">
        <v>0</v>
      </c>
      <c r="F31" s="620">
        <v>28</v>
      </c>
      <c r="G31" s="447">
        <f t="shared" si="0"/>
        <v>28</v>
      </c>
      <c r="H31" s="623">
        <v>0</v>
      </c>
      <c r="I31" s="624">
        <v>0</v>
      </c>
      <c r="J31" s="624">
        <v>0</v>
      </c>
      <c r="K31" s="624">
        <v>0</v>
      </c>
      <c r="L31" s="447">
        <f t="shared" si="1"/>
        <v>0</v>
      </c>
      <c r="M31" s="448">
        <f t="shared" si="2"/>
        <v>0</v>
      </c>
      <c r="N31" s="439">
        <f t="shared" si="3"/>
        <v>28</v>
      </c>
      <c r="O31" s="449">
        <f t="shared" si="4"/>
        <v>28</v>
      </c>
    </row>
    <row r="32" spans="1:15" ht="12.75">
      <c r="A32" s="297"/>
      <c r="B32" s="450" t="s">
        <v>561</v>
      </c>
      <c r="C32" s="268" t="s">
        <v>562</v>
      </c>
      <c r="D32" s="619">
        <v>0</v>
      </c>
      <c r="E32" s="620">
        <v>0</v>
      </c>
      <c r="F32" s="620">
        <v>9</v>
      </c>
      <c r="G32" s="447">
        <f t="shared" si="0"/>
        <v>9</v>
      </c>
      <c r="H32" s="623">
        <v>0</v>
      </c>
      <c r="I32" s="624">
        <v>0</v>
      </c>
      <c r="J32" s="624">
        <v>0</v>
      </c>
      <c r="K32" s="624">
        <v>0</v>
      </c>
      <c r="L32" s="447">
        <f t="shared" si="1"/>
        <v>0</v>
      </c>
      <c r="M32" s="448">
        <f t="shared" si="2"/>
        <v>0</v>
      </c>
      <c r="N32" s="439">
        <f t="shared" si="3"/>
        <v>9</v>
      </c>
      <c r="O32" s="449">
        <f t="shared" si="4"/>
        <v>9</v>
      </c>
    </row>
    <row r="33" spans="1:15" ht="12.75">
      <c r="A33" s="297"/>
      <c r="B33" s="269">
        <v>60</v>
      </c>
      <c r="C33" s="833" t="s">
        <v>565</v>
      </c>
      <c r="D33" s="621">
        <v>7</v>
      </c>
      <c r="E33" s="622">
        <v>0</v>
      </c>
      <c r="F33" s="622">
        <v>18</v>
      </c>
      <c r="G33" s="447">
        <f t="shared" si="0"/>
        <v>25</v>
      </c>
      <c r="H33" s="623">
        <v>0</v>
      </c>
      <c r="I33" s="624">
        <v>0</v>
      </c>
      <c r="J33" s="624">
        <v>0</v>
      </c>
      <c r="K33" s="624">
        <v>0</v>
      </c>
      <c r="L33" s="447">
        <f t="shared" si="1"/>
        <v>0</v>
      </c>
      <c r="M33" s="448">
        <f t="shared" si="2"/>
        <v>7</v>
      </c>
      <c r="N33" s="439">
        <f t="shared" si="3"/>
        <v>18</v>
      </c>
      <c r="O33" s="449">
        <f t="shared" si="4"/>
        <v>25</v>
      </c>
    </row>
    <row r="34" spans="1:15" ht="12.75">
      <c r="A34" s="297"/>
      <c r="B34" s="269">
        <v>61</v>
      </c>
      <c r="C34" s="328" t="s">
        <v>379</v>
      </c>
      <c r="D34" s="619">
        <v>0</v>
      </c>
      <c r="E34" s="620">
        <v>0</v>
      </c>
      <c r="F34" s="620">
        <v>67</v>
      </c>
      <c r="G34" s="447">
        <f t="shared" si="0"/>
        <v>67</v>
      </c>
      <c r="H34" s="623">
        <v>0</v>
      </c>
      <c r="I34" s="624">
        <v>0</v>
      </c>
      <c r="J34" s="624">
        <v>0</v>
      </c>
      <c r="K34" s="624">
        <v>1</v>
      </c>
      <c r="L34" s="447">
        <f t="shared" si="1"/>
        <v>1</v>
      </c>
      <c r="M34" s="448">
        <f t="shared" si="2"/>
        <v>0</v>
      </c>
      <c r="N34" s="439">
        <f t="shared" si="3"/>
        <v>68</v>
      </c>
      <c r="O34" s="449">
        <f t="shared" si="4"/>
        <v>68</v>
      </c>
    </row>
    <row r="35" spans="1:15" ht="12.75">
      <c r="A35" s="297"/>
      <c r="B35" s="269">
        <v>63</v>
      </c>
      <c r="C35" s="268" t="s">
        <v>380</v>
      </c>
      <c r="D35" s="619">
        <v>0</v>
      </c>
      <c r="E35" s="620">
        <v>0</v>
      </c>
      <c r="F35" s="620">
        <v>45</v>
      </c>
      <c r="G35" s="447">
        <f t="shared" si="0"/>
        <v>45</v>
      </c>
      <c r="H35" s="623">
        <v>0</v>
      </c>
      <c r="I35" s="624">
        <v>0</v>
      </c>
      <c r="J35" s="624">
        <v>0</v>
      </c>
      <c r="K35" s="624">
        <v>0</v>
      </c>
      <c r="L35" s="447">
        <f t="shared" si="1"/>
        <v>0</v>
      </c>
      <c r="M35" s="448">
        <f t="shared" si="2"/>
        <v>0</v>
      </c>
      <c r="N35" s="439">
        <f t="shared" si="3"/>
        <v>45</v>
      </c>
      <c r="O35" s="449">
        <f t="shared" si="4"/>
        <v>45</v>
      </c>
    </row>
    <row r="36" spans="1:15" ht="12.75">
      <c r="A36" s="297"/>
      <c r="B36" s="269">
        <v>64</v>
      </c>
      <c r="C36" s="423" t="s">
        <v>489</v>
      </c>
      <c r="D36" s="619">
        <v>0</v>
      </c>
      <c r="E36" s="620">
        <v>0</v>
      </c>
      <c r="F36" s="620">
        <v>4</v>
      </c>
      <c r="G36" s="447">
        <f t="shared" si="0"/>
        <v>4</v>
      </c>
      <c r="H36" s="623">
        <v>0</v>
      </c>
      <c r="I36" s="624">
        <v>0</v>
      </c>
      <c r="J36" s="624">
        <v>0</v>
      </c>
      <c r="K36" s="624">
        <v>0</v>
      </c>
      <c r="L36" s="447">
        <f t="shared" si="1"/>
        <v>0</v>
      </c>
      <c r="M36" s="448">
        <f t="shared" si="2"/>
        <v>0</v>
      </c>
      <c r="N36" s="439">
        <f t="shared" si="3"/>
        <v>4</v>
      </c>
      <c r="O36" s="449">
        <f t="shared" si="4"/>
        <v>4</v>
      </c>
    </row>
    <row r="37" spans="1:15" ht="12.75">
      <c r="A37" s="297"/>
      <c r="B37" s="269">
        <v>65</v>
      </c>
      <c r="C37" s="268" t="s">
        <v>490</v>
      </c>
      <c r="D37" s="619">
        <v>0</v>
      </c>
      <c r="E37" s="620">
        <v>0</v>
      </c>
      <c r="F37" s="620">
        <v>152</v>
      </c>
      <c r="G37" s="447">
        <f t="shared" si="0"/>
        <v>152</v>
      </c>
      <c r="H37" s="623">
        <v>0</v>
      </c>
      <c r="I37" s="624">
        <v>1</v>
      </c>
      <c r="J37" s="624">
        <v>0</v>
      </c>
      <c r="K37" s="624">
        <v>0</v>
      </c>
      <c r="L37" s="447">
        <f t="shared" si="1"/>
        <v>1</v>
      </c>
      <c r="M37" s="448">
        <f t="shared" si="2"/>
        <v>0</v>
      </c>
      <c r="N37" s="439">
        <f t="shared" si="3"/>
        <v>153</v>
      </c>
      <c r="O37" s="449">
        <f t="shared" si="4"/>
        <v>153</v>
      </c>
    </row>
    <row r="38" spans="1:15" ht="12.75">
      <c r="A38" s="297"/>
      <c r="B38" s="269">
        <v>67</v>
      </c>
      <c r="C38" s="268" t="s">
        <v>483</v>
      </c>
      <c r="D38" s="619">
        <v>3</v>
      </c>
      <c r="E38" s="620">
        <v>0</v>
      </c>
      <c r="F38" s="620">
        <v>12</v>
      </c>
      <c r="G38" s="447">
        <f t="shared" si="0"/>
        <v>15</v>
      </c>
      <c r="H38" s="623">
        <v>0</v>
      </c>
      <c r="I38" s="624">
        <v>0</v>
      </c>
      <c r="J38" s="624">
        <v>0</v>
      </c>
      <c r="K38" s="624">
        <v>0</v>
      </c>
      <c r="L38" s="447">
        <f t="shared" si="1"/>
        <v>0</v>
      </c>
      <c r="M38" s="448">
        <f t="shared" si="2"/>
        <v>3</v>
      </c>
      <c r="N38" s="439">
        <f t="shared" si="3"/>
        <v>12</v>
      </c>
      <c r="O38" s="449">
        <f t="shared" si="4"/>
        <v>15</v>
      </c>
    </row>
    <row r="39" spans="1:15" ht="12.75">
      <c r="A39" s="297"/>
      <c r="B39" s="269">
        <v>68</v>
      </c>
      <c r="C39" s="268" t="s">
        <v>404</v>
      </c>
      <c r="D39" s="619">
        <v>0</v>
      </c>
      <c r="E39" s="620">
        <v>0</v>
      </c>
      <c r="F39" s="620">
        <v>12</v>
      </c>
      <c r="G39" s="447">
        <f t="shared" si="0"/>
        <v>12</v>
      </c>
      <c r="H39" s="623">
        <v>0</v>
      </c>
      <c r="I39" s="624">
        <v>0</v>
      </c>
      <c r="J39" s="624">
        <v>0</v>
      </c>
      <c r="K39" s="624">
        <v>0</v>
      </c>
      <c r="L39" s="447">
        <f t="shared" si="1"/>
        <v>0</v>
      </c>
      <c r="M39" s="448">
        <f t="shared" si="2"/>
        <v>0</v>
      </c>
      <c r="N39" s="439">
        <f t="shared" si="3"/>
        <v>12</v>
      </c>
      <c r="O39" s="449">
        <f t="shared" si="4"/>
        <v>12</v>
      </c>
    </row>
    <row r="40" spans="1:15" ht="12.75">
      <c r="A40" s="297"/>
      <c r="B40" s="269">
        <v>78</v>
      </c>
      <c r="C40" s="423" t="s">
        <v>381</v>
      </c>
      <c r="D40" s="619">
        <v>0</v>
      </c>
      <c r="E40" s="620">
        <v>0</v>
      </c>
      <c r="F40" s="620">
        <v>80</v>
      </c>
      <c r="G40" s="447">
        <f t="shared" si="0"/>
        <v>80</v>
      </c>
      <c r="H40" s="623">
        <v>0</v>
      </c>
      <c r="I40" s="624">
        <v>1</v>
      </c>
      <c r="J40" s="624">
        <v>0</v>
      </c>
      <c r="K40" s="624">
        <v>0</v>
      </c>
      <c r="L40" s="447">
        <f t="shared" si="1"/>
        <v>1</v>
      </c>
      <c r="M40" s="448">
        <f t="shared" si="2"/>
        <v>0</v>
      </c>
      <c r="N40" s="439">
        <f t="shared" si="3"/>
        <v>81</v>
      </c>
      <c r="O40" s="449">
        <f t="shared" si="4"/>
        <v>81</v>
      </c>
    </row>
    <row r="41" spans="1:15" ht="12.75">
      <c r="A41" s="297"/>
      <c r="B41" s="269">
        <v>82</v>
      </c>
      <c r="C41" s="268" t="s">
        <v>382</v>
      </c>
      <c r="D41" s="619">
        <v>0</v>
      </c>
      <c r="E41" s="620">
        <v>0</v>
      </c>
      <c r="F41" s="620">
        <v>3</v>
      </c>
      <c r="G41" s="447">
        <f t="shared" si="0"/>
        <v>3</v>
      </c>
      <c r="H41" s="623">
        <v>0</v>
      </c>
      <c r="I41" s="624">
        <v>0</v>
      </c>
      <c r="J41" s="624">
        <v>0</v>
      </c>
      <c r="K41" s="624">
        <v>0</v>
      </c>
      <c r="L41" s="447">
        <f t="shared" si="1"/>
        <v>0</v>
      </c>
      <c r="M41" s="448">
        <f t="shared" si="2"/>
        <v>0</v>
      </c>
      <c r="N41" s="439">
        <f t="shared" si="3"/>
        <v>3</v>
      </c>
      <c r="O41" s="449">
        <f t="shared" si="4"/>
        <v>3</v>
      </c>
    </row>
    <row r="42" spans="1:15" ht="12.75">
      <c r="A42" s="297"/>
      <c r="B42" s="269">
        <v>83</v>
      </c>
      <c r="C42" s="805" t="s">
        <v>571</v>
      </c>
      <c r="D42" s="619">
        <v>6</v>
      </c>
      <c r="E42" s="620">
        <v>0</v>
      </c>
      <c r="F42" s="620">
        <v>8</v>
      </c>
      <c r="G42" s="447">
        <f t="shared" si="0"/>
        <v>14</v>
      </c>
      <c r="H42" s="623">
        <v>0</v>
      </c>
      <c r="I42" s="624">
        <v>0</v>
      </c>
      <c r="J42" s="624">
        <v>0</v>
      </c>
      <c r="K42" s="624">
        <v>0</v>
      </c>
      <c r="L42" s="447">
        <f t="shared" si="1"/>
        <v>0</v>
      </c>
      <c r="M42" s="448">
        <f t="shared" si="2"/>
        <v>6</v>
      </c>
      <c r="N42" s="439">
        <f t="shared" si="3"/>
        <v>8</v>
      </c>
      <c r="O42" s="449">
        <f t="shared" si="4"/>
        <v>14</v>
      </c>
    </row>
    <row r="43" spans="1:15" ht="12.75">
      <c r="A43" s="297"/>
      <c r="B43" s="269">
        <v>86</v>
      </c>
      <c r="C43" s="833" t="s">
        <v>567</v>
      </c>
      <c r="D43" s="619">
        <v>0</v>
      </c>
      <c r="E43" s="620">
        <v>0</v>
      </c>
      <c r="F43" s="620">
        <v>16</v>
      </c>
      <c r="G43" s="447">
        <f t="shared" si="0"/>
        <v>16</v>
      </c>
      <c r="H43" s="623">
        <v>0</v>
      </c>
      <c r="I43" s="624">
        <v>0</v>
      </c>
      <c r="J43" s="624">
        <v>0</v>
      </c>
      <c r="K43" s="624">
        <v>0</v>
      </c>
      <c r="L43" s="447">
        <f t="shared" si="1"/>
        <v>0</v>
      </c>
      <c r="M43" s="448">
        <f t="shared" si="2"/>
        <v>0</v>
      </c>
      <c r="N43" s="439">
        <f t="shared" si="3"/>
        <v>16</v>
      </c>
      <c r="O43" s="449">
        <f t="shared" si="4"/>
        <v>16</v>
      </c>
    </row>
    <row r="44" spans="1:15" ht="12.75">
      <c r="A44" s="297"/>
      <c r="B44" s="269" t="s">
        <v>492</v>
      </c>
      <c r="C44" s="423" t="s">
        <v>493</v>
      </c>
      <c r="D44" s="619">
        <v>13</v>
      </c>
      <c r="E44" s="620">
        <v>0</v>
      </c>
      <c r="F44" s="620">
        <v>37</v>
      </c>
      <c r="G44" s="447">
        <f t="shared" si="0"/>
        <v>50</v>
      </c>
      <c r="H44" s="623">
        <v>0</v>
      </c>
      <c r="I44" s="624">
        <v>0</v>
      </c>
      <c r="J44" s="624">
        <v>0</v>
      </c>
      <c r="K44" s="624">
        <v>0</v>
      </c>
      <c r="L44" s="447">
        <f t="shared" si="1"/>
        <v>0</v>
      </c>
      <c r="M44" s="448">
        <f t="shared" si="2"/>
        <v>13</v>
      </c>
      <c r="N44" s="439">
        <f t="shared" si="3"/>
        <v>37</v>
      </c>
      <c r="O44" s="449">
        <f t="shared" si="4"/>
        <v>50</v>
      </c>
    </row>
    <row r="45" spans="1:15" ht="12.75">
      <c r="A45" s="297"/>
      <c r="B45" s="269" t="s">
        <v>494</v>
      </c>
      <c r="C45" s="268" t="s">
        <v>495</v>
      </c>
      <c r="D45" s="619">
        <v>0</v>
      </c>
      <c r="E45" s="620">
        <v>0</v>
      </c>
      <c r="F45" s="620">
        <v>83</v>
      </c>
      <c r="G45" s="447">
        <f t="shared" si="0"/>
        <v>83</v>
      </c>
      <c r="H45" s="623">
        <v>0</v>
      </c>
      <c r="I45" s="624">
        <v>0</v>
      </c>
      <c r="J45" s="624">
        <v>0</v>
      </c>
      <c r="K45" s="624">
        <v>0</v>
      </c>
      <c r="L45" s="447">
        <f t="shared" si="1"/>
        <v>0</v>
      </c>
      <c r="M45" s="448">
        <f t="shared" si="2"/>
        <v>0</v>
      </c>
      <c r="N45" s="439">
        <f t="shared" si="3"/>
        <v>83</v>
      </c>
      <c r="O45" s="449">
        <f t="shared" si="4"/>
        <v>83</v>
      </c>
    </row>
    <row r="46" spans="1:15" ht="12.75">
      <c r="A46" s="297"/>
      <c r="B46" s="269" t="s">
        <v>496</v>
      </c>
      <c r="C46" s="833" t="s">
        <v>506</v>
      </c>
      <c r="D46" s="619">
        <v>0</v>
      </c>
      <c r="E46" s="620">
        <v>0</v>
      </c>
      <c r="F46" s="620">
        <v>13</v>
      </c>
      <c r="G46" s="447">
        <f t="shared" si="0"/>
        <v>13</v>
      </c>
      <c r="H46" s="623">
        <v>0</v>
      </c>
      <c r="I46" s="624">
        <v>0</v>
      </c>
      <c r="J46" s="624">
        <v>0</v>
      </c>
      <c r="K46" s="624">
        <v>0</v>
      </c>
      <c r="L46" s="447">
        <f t="shared" si="1"/>
        <v>0</v>
      </c>
      <c r="M46" s="448">
        <f t="shared" si="2"/>
        <v>0</v>
      </c>
      <c r="N46" s="439">
        <f t="shared" si="3"/>
        <v>13</v>
      </c>
      <c r="O46" s="449">
        <f t="shared" si="4"/>
        <v>13</v>
      </c>
    </row>
    <row r="47" spans="1:15" ht="13.5" thickBot="1">
      <c r="A47" s="653"/>
      <c r="B47" s="654"/>
      <c r="C47" s="400" t="s">
        <v>333</v>
      </c>
      <c r="D47" s="451">
        <f aca="true" t="shared" si="5" ref="D47:O47">SUM(D12:D46)</f>
        <v>52</v>
      </c>
      <c r="E47" s="452">
        <f t="shared" si="5"/>
        <v>1</v>
      </c>
      <c r="F47" s="452">
        <f t="shared" si="5"/>
        <v>1869</v>
      </c>
      <c r="G47" s="453">
        <f t="shared" si="5"/>
        <v>1922</v>
      </c>
      <c r="H47" s="452">
        <f t="shared" si="5"/>
        <v>0</v>
      </c>
      <c r="I47" s="452">
        <f t="shared" si="5"/>
        <v>2</v>
      </c>
      <c r="J47" s="452">
        <f t="shared" si="5"/>
        <v>0</v>
      </c>
      <c r="K47" s="452">
        <f t="shared" si="5"/>
        <v>9</v>
      </c>
      <c r="L47" s="453">
        <f t="shared" si="5"/>
        <v>11</v>
      </c>
      <c r="M47" s="454">
        <f t="shared" si="5"/>
        <v>53</v>
      </c>
      <c r="N47" s="455">
        <f t="shared" si="5"/>
        <v>1880</v>
      </c>
      <c r="O47" s="456">
        <f t="shared" si="5"/>
        <v>1933</v>
      </c>
    </row>
    <row r="48" spans="1:16" s="402" customFormat="1" ht="20.25" customHeight="1" thickTop="1">
      <c r="A48" s="401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ht="12.75">
      <c r="A49" s="216"/>
    </row>
    <row r="50" ht="12.75">
      <c r="A50" s="216"/>
    </row>
    <row r="51" spans="1:10" ht="12.75">
      <c r="A51" s="652" t="s">
        <v>357</v>
      </c>
      <c r="B51" s="375"/>
      <c r="C51" s="843" t="s">
        <v>633</v>
      </c>
      <c r="D51" s="377"/>
      <c r="E51" s="377"/>
      <c r="F51" s="377"/>
      <c r="G51" s="377"/>
      <c r="H51" s="377"/>
      <c r="I51" s="377"/>
      <c r="J51" s="377"/>
    </row>
    <row r="52" spans="1:10" ht="12.75">
      <c r="A52" s="651"/>
      <c r="B52" s="375"/>
      <c r="C52" s="380" t="s">
        <v>358</v>
      </c>
      <c r="D52" s="377"/>
      <c r="E52" s="377"/>
      <c r="F52" s="377"/>
      <c r="G52" s="377"/>
      <c r="H52" s="377"/>
      <c r="I52" s="377"/>
      <c r="J52" s="377"/>
    </row>
    <row r="53" spans="1:10" ht="12.75">
      <c r="A53" s="651"/>
      <c r="B53" s="375"/>
      <c r="C53" s="380" t="s">
        <v>359</v>
      </c>
      <c r="D53" s="377"/>
      <c r="E53" s="377"/>
      <c r="F53" s="377"/>
      <c r="G53" s="377"/>
      <c r="H53" s="377"/>
      <c r="I53" s="377"/>
      <c r="J53" s="377"/>
    </row>
    <row r="54" spans="1:10" ht="12.75">
      <c r="A54" s="651"/>
      <c r="B54" s="375"/>
      <c r="C54" s="380"/>
      <c r="D54" s="377"/>
      <c r="E54" s="377"/>
      <c r="F54" s="377"/>
      <c r="G54" s="377"/>
      <c r="H54" s="377"/>
      <c r="I54" s="377"/>
      <c r="J54" s="377"/>
    </row>
    <row r="55" spans="1:10" ht="12.75">
      <c r="A55" s="651"/>
      <c r="B55" s="375"/>
      <c r="C55" s="380"/>
      <c r="D55" s="377"/>
      <c r="E55" s="377"/>
      <c r="F55" s="377"/>
      <c r="G55" s="377"/>
      <c r="H55" s="377"/>
      <c r="I55" s="377"/>
      <c r="J55" s="377"/>
    </row>
    <row r="56" spans="1:10" ht="12.75">
      <c r="A56" s="652" t="s">
        <v>360</v>
      </c>
      <c r="B56" s="381" t="s">
        <v>361</v>
      </c>
      <c r="C56" s="380" t="s">
        <v>362</v>
      </c>
      <c r="D56" s="377"/>
      <c r="E56" s="377"/>
      <c r="F56" s="377"/>
      <c r="G56" s="377"/>
      <c r="H56" s="377"/>
      <c r="I56" s="377"/>
      <c r="J56" s="377"/>
    </row>
    <row r="57" spans="3:10" ht="12.75">
      <c r="C57" s="375" t="s">
        <v>363</v>
      </c>
      <c r="D57" s="375"/>
      <c r="E57" s="375"/>
      <c r="F57" s="375"/>
      <c r="G57" s="375"/>
      <c r="H57" s="375"/>
      <c r="I57" s="375"/>
      <c r="J57" s="375"/>
    </row>
    <row r="58" spans="1:10" ht="12.75">
      <c r="A58" s="651"/>
      <c r="B58" s="382"/>
      <c r="C58" s="375"/>
      <c r="D58" s="375"/>
      <c r="E58" s="375"/>
      <c r="F58" s="375"/>
      <c r="G58" s="375"/>
      <c r="H58" s="375"/>
      <c r="I58" s="375"/>
      <c r="J58" s="375"/>
    </row>
    <row r="59" spans="1:10" ht="12.75">
      <c r="A59" s="651"/>
      <c r="B59" s="381" t="s">
        <v>364</v>
      </c>
      <c r="C59" s="380" t="s">
        <v>480</v>
      </c>
      <c r="D59" s="377"/>
      <c r="E59" s="377"/>
      <c r="F59" s="377"/>
      <c r="G59" s="377"/>
      <c r="H59" s="377"/>
      <c r="I59" s="377"/>
      <c r="J59" s="377"/>
    </row>
    <row r="60" spans="1:10" ht="12.75">
      <c r="A60" s="651"/>
      <c r="B60" s="382"/>
      <c r="C60" s="375" t="s">
        <v>481</v>
      </c>
      <c r="D60" s="375"/>
      <c r="E60" s="375"/>
      <c r="F60" s="375"/>
      <c r="G60" s="375"/>
      <c r="H60" s="375"/>
      <c r="I60" s="375"/>
      <c r="J60" s="375"/>
    </row>
    <row r="61" spans="1:10" ht="12.75">
      <c r="A61" s="651"/>
      <c r="B61" s="382"/>
      <c r="C61" s="375"/>
      <c r="D61" s="375"/>
      <c r="E61" s="375"/>
      <c r="F61" s="375"/>
      <c r="G61" s="375"/>
      <c r="H61" s="375"/>
      <c r="I61" s="375"/>
      <c r="J61" s="375"/>
    </row>
    <row r="62" spans="1:10" ht="12.75">
      <c r="A62" s="651"/>
      <c r="B62" s="381" t="s">
        <v>365</v>
      </c>
      <c r="C62" s="375" t="s">
        <v>366</v>
      </c>
      <c r="D62" s="375"/>
      <c r="E62" s="375"/>
      <c r="F62" s="375"/>
      <c r="G62" s="375"/>
      <c r="H62" s="375"/>
      <c r="I62" s="375"/>
      <c r="J62" s="375"/>
    </row>
    <row r="63" spans="1:10" ht="12.75">
      <c r="A63" s="651"/>
      <c r="C63" s="375" t="s">
        <v>367</v>
      </c>
      <c r="D63" s="383"/>
      <c r="E63" s="383"/>
      <c r="F63" s="383"/>
      <c r="G63" s="383"/>
      <c r="H63" s="383"/>
      <c r="I63" s="383"/>
      <c r="J63" s="383"/>
    </row>
    <row r="64" spans="1:10" ht="12.75">
      <c r="A64" s="651"/>
      <c r="B64" s="382"/>
      <c r="C64" s="375"/>
      <c r="D64" s="375"/>
      <c r="E64" s="375"/>
      <c r="F64" s="375"/>
      <c r="G64" s="375"/>
      <c r="H64" s="375"/>
      <c r="I64" s="375"/>
      <c r="J64" s="375"/>
    </row>
    <row r="65" spans="1:10" ht="12.75">
      <c r="A65" s="652" t="s">
        <v>368</v>
      </c>
      <c r="B65" s="375"/>
      <c r="C65" s="603"/>
      <c r="D65" s="81"/>
      <c r="E65" s="81"/>
      <c r="F65" s="81"/>
      <c r="G65" s="602"/>
      <c r="H65" s="81"/>
      <c r="I65" s="81"/>
      <c r="J65" s="81"/>
    </row>
    <row r="66" spans="1:10" ht="12.75">
      <c r="A66" s="652"/>
      <c r="B66" s="375"/>
      <c r="C66" s="603"/>
      <c r="D66" s="81"/>
      <c r="E66" s="81"/>
      <c r="F66" s="81"/>
      <c r="G66" s="602"/>
      <c r="H66" s="81"/>
      <c r="I66" s="81"/>
      <c r="J66" s="81"/>
    </row>
    <row r="67" spans="1:10" ht="12.75">
      <c r="A67" s="652"/>
      <c r="B67" s="375"/>
      <c r="C67" s="603" t="s">
        <v>398</v>
      </c>
      <c r="D67" s="81"/>
      <c r="E67" s="81"/>
      <c r="F67" s="81"/>
      <c r="G67" s="602"/>
      <c r="H67" s="81"/>
      <c r="I67" s="81"/>
      <c r="J67" s="81"/>
    </row>
    <row r="68" spans="1:10" ht="12.75">
      <c r="A68" s="604"/>
      <c r="B68" s="375"/>
      <c r="C68" s="376" t="s">
        <v>369</v>
      </c>
      <c r="D68" s="384"/>
      <c r="E68" s="377"/>
      <c r="F68" s="377"/>
      <c r="G68" s="377"/>
      <c r="H68" s="377"/>
      <c r="I68" s="377"/>
      <c r="J68" s="377"/>
    </row>
    <row r="69" spans="1:10" ht="12.75">
      <c r="A69" s="604"/>
      <c r="B69" s="375"/>
      <c r="C69" s="376" t="s">
        <v>564</v>
      </c>
      <c r="D69" s="377"/>
      <c r="E69" s="377"/>
      <c r="F69" s="377"/>
      <c r="G69" s="377"/>
      <c r="H69" s="377"/>
      <c r="I69" s="377"/>
      <c r="J69" s="377"/>
    </row>
    <row r="70" spans="1:10" ht="12.75">
      <c r="A70" s="604"/>
      <c r="B70" s="375"/>
      <c r="C70" s="385" t="s">
        <v>634</v>
      </c>
      <c r="D70" s="377"/>
      <c r="E70" s="377"/>
      <c r="F70" s="377"/>
      <c r="G70" s="377"/>
      <c r="H70" s="377"/>
      <c r="I70" s="377"/>
      <c r="J70" s="377"/>
    </row>
  </sheetData>
  <sheetProtection/>
  <mergeCells count="6">
    <mergeCell ref="A1:O1"/>
    <mergeCell ref="A2:O2"/>
    <mergeCell ref="H5:L5"/>
    <mergeCell ref="D6:G6"/>
    <mergeCell ref="H6:L6"/>
    <mergeCell ref="A3:O3"/>
  </mergeCells>
  <printOptions horizontalCentered="1"/>
  <pageMargins left="0.4" right="0" top="0.75" bottom="0.5" header="0" footer="0.25"/>
  <pageSetup horizontalDpi="600" verticalDpi="600" orientation="portrait" scale="70" r:id="rId1"/>
  <headerFooter alignWithMargins="0">
    <oddFooter>&amp;C&amp;14- 17 -</oddFooter>
  </headerFooter>
  <ignoredErrors>
    <ignoredError sqref="B56 B59 B62 B15 B20 B23 B30 B32 B44:B4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3" ySplit="11" topLeftCell="D12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46.140625" style="0" customWidth="1"/>
    <col min="4" max="4" width="8.8515625" style="0" customWidth="1"/>
    <col min="5" max="5" width="7.57421875" style="0" customWidth="1"/>
    <col min="6" max="6" width="7.7109375" style="0" customWidth="1"/>
    <col min="7" max="7" width="9.00390625" style="0" customWidth="1"/>
    <col min="8" max="8" width="5.8515625" style="0" customWidth="1"/>
    <col min="9" max="9" width="6.00390625" style="0" customWidth="1"/>
    <col min="10" max="10" width="6.421875" style="0" customWidth="1"/>
    <col min="11" max="11" width="5.28125" style="0" customWidth="1"/>
    <col min="12" max="12" width="5.140625" style="0" customWidth="1"/>
    <col min="13" max="13" width="7.28125" style="0" customWidth="1"/>
    <col min="14" max="14" width="6.7109375" style="0" customWidth="1"/>
    <col min="15" max="15" width="8.57421875" style="0" customWidth="1"/>
  </cols>
  <sheetData>
    <row r="1" spans="1:15" ht="26.25">
      <c r="A1" s="945" t="s">
        <v>85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</row>
    <row r="2" spans="1:15" ht="23.25">
      <c r="A2" s="946" t="s">
        <v>503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</row>
    <row r="3" spans="1:15" ht="15">
      <c r="A3" s="934" t="s">
        <v>631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</row>
    <row r="5" spans="1:15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404"/>
      <c r="O5" s="405"/>
    </row>
    <row r="6" spans="1:15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406"/>
      <c r="O6" s="407"/>
    </row>
    <row r="7" spans="1:15" ht="12.75">
      <c r="A7" s="408"/>
      <c r="B7" s="409"/>
      <c r="C7" s="409"/>
      <c r="D7" s="947" t="s">
        <v>329</v>
      </c>
      <c r="E7" s="948"/>
      <c r="F7" s="948"/>
      <c r="G7" s="949"/>
      <c r="H7" s="950" t="s">
        <v>383</v>
      </c>
      <c r="I7" s="951"/>
      <c r="J7" s="951"/>
      <c r="K7" s="951"/>
      <c r="L7" s="952"/>
      <c r="M7" s="953" t="s">
        <v>252</v>
      </c>
      <c r="N7" s="954"/>
      <c r="O7" s="955"/>
    </row>
    <row r="8" spans="1:15" ht="12.75">
      <c r="A8" s="410"/>
      <c r="B8" s="411"/>
      <c r="C8" s="411"/>
      <c r="D8" s="412"/>
      <c r="E8" s="271"/>
      <c r="F8" s="271"/>
      <c r="G8" s="413"/>
      <c r="H8" s="412"/>
      <c r="I8" s="271"/>
      <c r="J8" s="271"/>
      <c r="K8" s="271"/>
      <c r="L8" s="413"/>
      <c r="M8" s="272"/>
      <c r="N8" s="269"/>
      <c r="O8" s="270"/>
    </row>
    <row r="9" spans="1:15" ht="12.75">
      <c r="A9" s="738"/>
      <c r="B9" s="739"/>
      <c r="C9" s="740"/>
      <c r="D9" s="741"/>
      <c r="E9" s="742"/>
      <c r="F9" s="742"/>
      <c r="G9" s="743" t="s">
        <v>384</v>
      </c>
      <c r="H9" s="744" t="s">
        <v>331</v>
      </c>
      <c r="I9" s="745"/>
      <c r="J9" s="606" t="s">
        <v>332</v>
      </c>
      <c r="K9" s="742" t="s">
        <v>516</v>
      </c>
      <c r="L9" s="743"/>
      <c r="M9" s="741"/>
      <c r="N9" s="742" t="s">
        <v>333</v>
      </c>
      <c r="O9" s="743" t="s">
        <v>334</v>
      </c>
    </row>
    <row r="10" spans="1:15" ht="12.75">
      <c r="A10" s="738" t="s">
        <v>6</v>
      </c>
      <c r="B10" s="739"/>
      <c r="C10" s="746"/>
      <c r="D10" s="741" t="s">
        <v>387</v>
      </c>
      <c r="E10" s="742" t="s">
        <v>388</v>
      </c>
      <c r="F10" s="742" t="s">
        <v>389</v>
      </c>
      <c r="G10" s="743" t="s">
        <v>390</v>
      </c>
      <c r="H10" s="747" t="s">
        <v>337</v>
      </c>
      <c r="I10" s="748" t="s">
        <v>338</v>
      </c>
      <c r="J10" s="748" t="s">
        <v>336</v>
      </c>
      <c r="K10" s="748" t="s">
        <v>336</v>
      </c>
      <c r="L10" s="743"/>
      <c r="M10" s="741" t="s">
        <v>333</v>
      </c>
      <c r="N10" s="742" t="s">
        <v>336</v>
      </c>
      <c r="O10" s="743" t="s">
        <v>333</v>
      </c>
    </row>
    <row r="11" spans="1:15" ht="12.75">
      <c r="A11" s="752" t="s">
        <v>385</v>
      </c>
      <c r="B11" s="753"/>
      <c r="C11" s="753" t="s">
        <v>386</v>
      </c>
      <c r="D11" s="754" t="s">
        <v>184</v>
      </c>
      <c r="E11" s="755" t="s">
        <v>391</v>
      </c>
      <c r="F11" s="755" t="s">
        <v>184</v>
      </c>
      <c r="G11" s="756" t="s">
        <v>184</v>
      </c>
      <c r="H11" s="757" t="s">
        <v>339</v>
      </c>
      <c r="I11" s="758" t="s">
        <v>341</v>
      </c>
      <c r="J11" s="758" t="s">
        <v>339</v>
      </c>
      <c r="K11" s="758" t="s">
        <v>339</v>
      </c>
      <c r="L11" s="756" t="s">
        <v>333</v>
      </c>
      <c r="M11" s="749" t="s">
        <v>339</v>
      </c>
      <c r="N11" s="750" t="s">
        <v>339</v>
      </c>
      <c r="O11" s="751" t="s">
        <v>342</v>
      </c>
    </row>
    <row r="12" spans="1:15" ht="12.75">
      <c r="A12" s="417" t="s">
        <v>497</v>
      </c>
      <c r="B12" s="415"/>
      <c r="C12" s="625" t="s">
        <v>498</v>
      </c>
      <c r="D12" s="418">
        <v>23</v>
      </c>
      <c r="E12" s="418">
        <v>0</v>
      </c>
      <c r="F12" s="418">
        <v>8</v>
      </c>
      <c r="G12" s="419">
        <f aca="true" t="shared" si="0" ref="G12:G20">SUM(D12:F12)</f>
        <v>31</v>
      </c>
      <c r="H12" s="424">
        <v>0</v>
      </c>
      <c r="I12" s="420">
        <v>0</v>
      </c>
      <c r="J12" s="420">
        <v>0</v>
      </c>
      <c r="K12" s="420">
        <v>0</v>
      </c>
      <c r="L12" s="419">
        <f aca="true" t="shared" si="1" ref="L12:L20">SUM(H12:K12)</f>
        <v>0</v>
      </c>
      <c r="M12" s="421">
        <f>D12+E12+H12</f>
        <v>23</v>
      </c>
      <c r="N12" s="422">
        <f>F12+J12+I12+K12</f>
        <v>8</v>
      </c>
      <c r="O12" s="419">
        <f>N12+M12</f>
        <v>31</v>
      </c>
    </row>
    <row r="13" spans="1:15" ht="12.75">
      <c r="A13" s="417" t="s">
        <v>499</v>
      </c>
      <c r="B13" s="415"/>
      <c r="C13" s="625" t="s">
        <v>500</v>
      </c>
      <c r="D13" s="418">
        <v>1110</v>
      </c>
      <c r="E13" s="418">
        <v>964</v>
      </c>
      <c r="F13" s="418">
        <v>106</v>
      </c>
      <c r="G13" s="419">
        <f t="shared" si="0"/>
        <v>2180</v>
      </c>
      <c r="H13" s="424">
        <v>3</v>
      </c>
      <c r="I13" s="420">
        <v>0</v>
      </c>
      <c r="J13" s="420">
        <v>0</v>
      </c>
      <c r="K13" s="420">
        <v>0</v>
      </c>
      <c r="L13" s="419">
        <f t="shared" si="1"/>
        <v>3</v>
      </c>
      <c r="M13" s="421">
        <f aca="true" t="shared" si="2" ref="M13:M20">D13+E13+H13</f>
        <v>2077</v>
      </c>
      <c r="N13" s="422">
        <f aca="true" t="shared" si="3" ref="N13:N20">F13+J13+I13+K13</f>
        <v>106</v>
      </c>
      <c r="O13" s="419">
        <f aca="true" t="shared" si="4" ref="O13:O20">N13+M13</f>
        <v>2183</v>
      </c>
    </row>
    <row r="14" spans="1:15" ht="12.75">
      <c r="A14" s="417">
        <v>8843</v>
      </c>
      <c r="B14" s="415"/>
      <c r="C14" s="625" t="s">
        <v>392</v>
      </c>
      <c r="D14" s="418">
        <v>3868</v>
      </c>
      <c r="E14" s="418">
        <v>373</v>
      </c>
      <c r="F14" s="418">
        <v>317</v>
      </c>
      <c r="G14" s="419">
        <f t="shared" si="0"/>
        <v>4558</v>
      </c>
      <c r="H14" s="424">
        <v>137</v>
      </c>
      <c r="I14" s="420">
        <v>0</v>
      </c>
      <c r="J14" s="420">
        <v>0</v>
      </c>
      <c r="K14" s="420">
        <v>251</v>
      </c>
      <c r="L14" s="419">
        <f t="shared" si="1"/>
        <v>388</v>
      </c>
      <c r="M14" s="421">
        <f t="shared" si="2"/>
        <v>4378</v>
      </c>
      <c r="N14" s="422">
        <f t="shared" si="3"/>
        <v>568</v>
      </c>
      <c r="O14" s="419">
        <f t="shared" si="4"/>
        <v>4946</v>
      </c>
    </row>
    <row r="15" spans="1:15" ht="12.75">
      <c r="A15" s="414">
        <v>8848</v>
      </c>
      <c r="B15" s="415"/>
      <c r="C15" s="626" t="s">
        <v>393</v>
      </c>
      <c r="D15" s="418">
        <v>737</v>
      </c>
      <c r="E15" s="418">
        <v>2447</v>
      </c>
      <c r="F15" s="418">
        <v>17</v>
      </c>
      <c r="G15" s="419">
        <f t="shared" si="0"/>
        <v>3201</v>
      </c>
      <c r="H15" s="424">
        <v>20</v>
      </c>
      <c r="I15" s="420">
        <v>0</v>
      </c>
      <c r="J15" s="420">
        <v>0</v>
      </c>
      <c r="K15" s="420">
        <v>95</v>
      </c>
      <c r="L15" s="419">
        <f t="shared" si="1"/>
        <v>115</v>
      </c>
      <c r="M15" s="421">
        <f t="shared" si="2"/>
        <v>3204</v>
      </c>
      <c r="N15" s="422">
        <f t="shared" si="3"/>
        <v>112</v>
      </c>
      <c r="O15" s="419">
        <f t="shared" si="4"/>
        <v>3316</v>
      </c>
    </row>
    <row r="16" spans="1:15" ht="12.75">
      <c r="A16" s="414" t="s">
        <v>501</v>
      </c>
      <c r="B16" s="415"/>
      <c r="C16" s="626" t="s">
        <v>394</v>
      </c>
      <c r="D16" s="418">
        <v>285</v>
      </c>
      <c r="E16" s="418">
        <v>5</v>
      </c>
      <c r="F16" s="418">
        <v>8</v>
      </c>
      <c r="G16" s="419">
        <f t="shared" si="0"/>
        <v>298</v>
      </c>
      <c r="H16" s="424">
        <v>16</v>
      </c>
      <c r="I16" s="420">
        <v>0</v>
      </c>
      <c r="J16" s="420">
        <v>0</v>
      </c>
      <c r="K16" s="420">
        <v>0</v>
      </c>
      <c r="L16" s="419">
        <f t="shared" si="1"/>
        <v>16</v>
      </c>
      <c r="M16" s="421">
        <f t="shared" si="2"/>
        <v>306</v>
      </c>
      <c r="N16" s="422">
        <f t="shared" si="3"/>
        <v>8</v>
      </c>
      <c r="O16" s="419">
        <f t="shared" si="4"/>
        <v>314</v>
      </c>
    </row>
    <row r="17" spans="1:15" ht="12.75">
      <c r="A17" s="414">
        <v>8888</v>
      </c>
      <c r="B17" s="415"/>
      <c r="C17" s="626" t="s">
        <v>526</v>
      </c>
      <c r="D17" s="418">
        <v>207</v>
      </c>
      <c r="E17" s="418">
        <v>40</v>
      </c>
      <c r="F17" s="418">
        <v>136</v>
      </c>
      <c r="G17" s="419">
        <f t="shared" si="0"/>
        <v>383</v>
      </c>
      <c r="H17" s="424">
        <v>3</v>
      </c>
      <c r="I17" s="420">
        <v>3</v>
      </c>
      <c r="J17" s="420">
        <v>0</v>
      </c>
      <c r="K17" s="420">
        <v>1</v>
      </c>
      <c r="L17" s="419">
        <f t="shared" si="1"/>
        <v>7</v>
      </c>
      <c r="M17" s="421">
        <f t="shared" si="2"/>
        <v>250</v>
      </c>
      <c r="N17" s="422">
        <f t="shared" si="3"/>
        <v>140</v>
      </c>
      <c r="O17" s="419">
        <f t="shared" si="4"/>
        <v>390</v>
      </c>
    </row>
    <row r="18" spans="1:15" ht="12.75">
      <c r="A18" s="414" t="s">
        <v>507</v>
      </c>
      <c r="B18" s="415"/>
      <c r="C18" s="626" t="s">
        <v>635</v>
      </c>
      <c r="D18" s="418">
        <v>0</v>
      </c>
      <c r="E18" s="418">
        <v>0</v>
      </c>
      <c r="F18" s="418">
        <v>1</v>
      </c>
      <c r="G18" s="419">
        <f t="shared" si="0"/>
        <v>1</v>
      </c>
      <c r="H18" s="424">
        <v>0</v>
      </c>
      <c r="I18" s="420">
        <v>0</v>
      </c>
      <c r="J18" s="420">
        <v>0</v>
      </c>
      <c r="K18" s="420">
        <v>0</v>
      </c>
      <c r="L18" s="419">
        <f t="shared" si="1"/>
        <v>0</v>
      </c>
      <c r="M18" s="421">
        <f t="shared" si="2"/>
        <v>0</v>
      </c>
      <c r="N18" s="422">
        <f t="shared" si="3"/>
        <v>1</v>
      </c>
      <c r="O18" s="419">
        <f t="shared" si="4"/>
        <v>1</v>
      </c>
    </row>
    <row r="19" spans="1:15" ht="12.75">
      <c r="A19" s="414" t="s">
        <v>527</v>
      </c>
      <c r="B19" s="415"/>
      <c r="C19" s="626" t="s">
        <v>528</v>
      </c>
      <c r="D19" s="418">
        <v>122</v>
      </c>
      <c r="E19" s="418">
        <v>0</v>
      </c>
      <c r="F19" s="418">
        <v>7</v>
      </c>
      <c r="G19" s="419">
        <f t="shared" si="0"/>
        <v>129</v>
      </c>
      <c r="H19" s="424">
        <v>2</v>
      </c>
      <c r="I19" s="420">
        <v>0</v>
      </c>
      <c r="J19" s="420">
        <v>0</v>
      </c>
      <c r="K19" s="420">
        <v>0</v>
      </c>
      <c r="L19" s="419">
        <f t="shared" si="1"/>
        <v>2</v>
      </c>
      <c r="M19" s="421">
        <f t="shared" si="2"/>
        <v>124</v>
      </c>
      <c r="N19" s="422">
        <f t="shared" si="3"/>
        <v>7</v>
      </c>
      <c r="O19" s="419">
        <f t="shared" si="4"/>
        <v>131</v>
      </c>
    </row>
    <row r="20" spans="1:15" ht="12.75">
      <c r="A20" s="787" t="s">
        <v>356</v>
      </c>
      <c r="B20" s="415"/>
      <c r="C20" s="626"/>
      <c r="D20" s="418">
        <v>4082</v>
      </c>
      <c r="E20" s="418">
        <v>0</v>
      </c>
      <c r="F20" s="418">
        <v>1053</v>
      </c>
      <c r="G20" s="419">
        <f t="shared" si="0"/>
        <v>5135</v>
      </c>
      <c r="H20" s="424">
        <v>0</v>
      </c>
      <c r="I20" s="420">
        <v>0</v>
      </c>
      <c r="J20" s="420">
        <v>0</v>
      </c>
      <c r="K20" s="420">
        <v>0</v>
      </c>
      <c r="L20" s="419">
        <f t="shared" si="1"/>
        <v>0</v>
      </c>
      <c r="M20" s="421">
        <f t="shared" si="2"/>
        <v>4082</v>
      </c>
      <c r="N20" s="422">
        <f t="shared" si="3"/>
        <v>1053</v>
      </c>
      <c r="O20" s="419">
        <f t="shared" si="4"/>
        <v>5135</v>
      </c>
    </row>
    <row r="21" spans="1:15" ht="12.75">
      <c r="A21" s="425"/>
      <c r="B21" s="426"/>
      <c r="C21" s="427" t="s">
        <v>333</v>
      </c>
      <c r="D21" s="428">
        <f aca="true" t="shared" si="5" ref="D21:O21">SUM(D12:D20)</f>
        <v>10434</v>
      </c>
      <c r="E21" s="429">
        <f t="shared" si="5"/>
        <v>3829</v>
      </c>
      <c r="F21" s="429">
        <f t="shared" si="5"/>
        <v>1653</v>
      </c>
      <c r="G21" s="429">
        <f t="shared" si="5"/>
        <v>15916</v>
      </c>
      <c r="H21" s="428">
        <f t="shared" si="5"/>
        <v>181</v>
      </c>
      <c r="I21" s="429">
        <f t="shared" si="5"/>
        <v>3</v>
      </c>
      <c r="J21" s="552">
        <f t="shared" si="5"/>
        <v>0</v>
      </c>
      <c r="K21" s="429">
        <f t="shared" si="5"/>
        <v>347</v>
      </c>
      <c r="L21" s="430">
        <f t="shared" si="5"/>
        <v>531</v>
      </c>
      <c r="M21" s="428">
        <f t="shared" si="5"/>
        <v>14444</v>
      </c>
      <c r="N21" s="429">
        <f t="shared" si="5"/>
        <v>2003</v>
      </c>
      <c r="O21" s="430">
        <f t="shared" si="5"/>
        <v>16447</v>
      </c>
    </row>
    <row r="23" spans="1:15" ht="12.75">
      <c r="A23" s="375"/>
      <c r="B23" s="375"/>
      <c r="C23" s="431"/>
      <c r="D23" s="432"/>
      <c r="E23" s="432"/>
      <c r="F23" s="433"/>
      <c r="G23" s="433"/>
      <c r="H23" s="433"/>
      <c r="I23" s="434"/>
      <c r="J23" s="434"/>
      <c r="K23" s="433"/>
      <c r="L23" s="433"/>
      <c r="M23" s="416"/>
      <c r="N23" s="416"/>
      <c r="O23" s="416"/>
    </row>
    <row r="24" spans="1:14" ht="12.75">
      <c r="A24" s="374" t="s">
        <v>357</v>
      </c>
      <c r="B24" s="375"/>
      <c r="C24" s="376" t="s">
        <v>633</v>
      </c>
      <c r="D24" s="377"/>
      <c r="E24" s="377"/>
      <c r="F24" s="377"/>
      <c r="G24" s="377"/>
      <c r="H24" s="377"/>
      <c r="I24" s="377"/>
      <c r="J24" s="377"/>
      <c r="K24" s="377"/>
      <c r="L24" s="377"/>
      <c r="M24" s="379"/>
      <c r="N24" s="379"/>
    </row>
    <row r="25" spans="1:14" ht="12.75">
      <c r="A25" s="380"/>
      <c r="B25" s="375"/>
      <c r="C25" s="380" t="s">
        <v>358</v>
      </c>
      <c r="D25" s="377"/>
      <c r="E25" s="377"/>
      <c r="F25" s="377"/>
      <c r="G25" s="377"/>
      <c r="H25" s="377"/>
      <c r="I25" s="377"/>
      <c r="J25" s="377"/>
      <c r="K25" s="377"/>
      <c r="L25" s="377"/>
      <c r="M25" s="379"/>
      <c r="N25" s="379"/>
    </row>
    <row r="26" spans="1:14" ht="12.75">
      <c r="A26" s="380"/>
      <c r="B26" s="375"/>
      <c r="C26" s="380" t="s">
        <v>359</v>
      </c>
      <c r="D26" s="377"/>
      <c r="E26" s="377"/>
      <c r="F26" s="377"/>
      <c r="G26" s="377"/>
      <c r="H26" s="377"/>
      <c r="I26" s="377"/>
      <c r="J26" s="377"/>
      <c r="K26" s="377"/>
      <c r="L26" s="377"/>
      <c r="M26" s="379"/>
      <c r="N26" s="379"/>
    </row>
    <row r="27" spans="1:14" ht="12.75" customHeight="1">
      <c r="A27" s="380"/>
      <c r="B27" s="375"/>
      <c r="C27" s="380"/>
      <c r="D27" s="377"/>
      <c r="E27" s="377"/>
      <c r="F27" s="377"/>
      <c r="G27" s="377"/>
      <c r="H27" s="377"/>
      <c r="I27" s="377"/>
      <c r="J27" s="377"/>
      <c r="K27" s="377"/>
      <c r="L27" s="377"/>
      <c r="M27" s="379"/>
      <c r="N27" s="379"/>
    </row>
    <row r="28" spans="1:14" ht="12.75">
      <c r="A28" s="380"/>
      <c r="B28" s="375"/>
      <c r="C28" s="380"/>
      <c r="D28" s="377"/>
      <c r="E28" s="377"/>
      <c r="F28" s="377"/>
      <c r="G28" s="377"/>
      <c r="H28" s="377"/>
      <c r="I28" s="377"/>
      <c r="J28" s="377"/>
      <c r="K28" s="377"/>
      <c r="L28" s="377"/>
      <c r="M28" s="379"/>
      <c r="N28" s="379"/>
    </row>
    <row r="29" spans="1:13" ht="12.75">
      <c r="A29" s="374" t="s">
        <v>360</v>
      </c>
      <c r="B29" s="381" t="s">
        <v>361</v>
      </c>
      <c r="C29" s="375" t="s">
        <v>362</v>
      </c>
      <c r="D29" s="375"/>
      <c r="E29" s="375"/>
      <c r="F29" s="375"/>
      <c r="G29" s="375"/>
      <c r="H29" s="375"/>
      <c r="I29" s="375"/>
      <c r="J29" s="375"/>
      <c r="K29" s="375"/>
      <c r="L29" s="375"/>
      <c r="M29" s="81"/>
    </row>
    <row r="30" spans="1:13" ht="12.75">
      <c r="A30" s="380"/>
      <c r="B30" s="382"/>
      <c r="C30" s="375" t="s">
        <v>363</v>
      </c>
      <c r="D30" s="375"/>
      <c r="E30" s="375"/>
      <c r="F30" s="375"/>
      <c r="G30" s="375"/>
      <c r="H30" s="375"/>
      <c r="I30" s="375"/>
      <c r="J30" s="375"/>
      <c r="K30" s="375"/>
      <c r="L30" s="375"/>
      <c r="M30" s="81"/>
    </row>
    <row r="31" spans="1:14" ht="12.75">
      <c r="A31" s="380"/>
      <c r="B31" s="382"/>
      <c r="C31" s="380"/>
      <c r="D31" s="377"/>
      <c r="E31" s="377"/>
      <c r="F31" s="377"/>
      <c r="G31" s="377"/>
      <c r="H31" s="377"/>
      <c r="I31" s="377"/>
      <c r="J31" s="377"/>
      <c r="K31" s="377"/>
      <c r="L31" s="377"/>
      <c r="M31" s="379"/>
      <c r="N31" s="379"/>
    </row>
    <row r="32" spans="1:13" ht="12.75">
      <c r="A32" s="380"/>
      <c r="B32" s="381" t="s">
        <v>364</v>
      </c>
      <c r="C32" s="375" t="s">
        <v>480</v>
      </c>
      <c r="D32" s="375"/>
      <c r="E32" s="375"/>
      <c r="F32" s="375"/>
      <c r="G32" s="375"/>
      <c r="H32" s="375"/>
      <c r="I32" s="375"/>
      <c r="J32" s="375"/>
      <c r="K32" s="375"/>
      <c r="L32" s="375"/>
      <c r="M32" s="81"/>
    </row>
    <row r="33" spans="1:13" ht="12.75">
      <c r="A33" s="380"/>
      <c r="B33" s="382"/>
      <c r="C33" s="375" t="s">
        <v>481</v>
      </c>
      <c r="D33" s="375"/>
      <c r="E33" s="375"/>
      <c r="F33" s="375"/>
      <c r="G33" s="375"/>
      <c r="H33" s="375"/>
      <c r="I33" s="375"/>
      <c r="J33" s="375"/>
      <c r="K33" s="375"/>
      <c r="L33" s="375"/>
      <c r="M33" s="81"/>
    </row>
    <row r="34" spans="1:13" ht="12.75">
      <c r="A34" s="380"/>
      <c r="B34" s="382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81"/>
    </row>
    <row r="35" spans="1:14" ht="12.75">
      <c r="A35" s="380"/>
      <c r="B35" s="381" t="s">
        <v>365</v>
      </c>
      <c r="C35" s="375" t="s">
        <v>366</v>
      </c>
      <c r="D35" s="383"/>
      <c r="E35" s="383"/>
      <c r="F35" s="383"/>
      <c r="G35" s="383"/>
      <c r="H35" s="383"/>
      <c r="I35" s="383"/>
      <c r="J35" s="383"/>
      <c r="K35" s="383"/>
      <c r="L35" s="383"/>
      <c r="M35" s="403"/>
      <c r="N35" s="379"/>
    </row>
    <row r="36" spans="1:14" ht="12.75">
      <c r="A36" s="380"/>
      <c r="B36" s="382"/>
      <c r="C36" s="375" t="s">
        <v>367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9"/>
      <c r="N36" s="379"/>
    </row>
    <row r="37" spans="1:14" ht="12.75">
      <c r="A37" s="380"/>
      <c r="B37" s="382"/>
      <c r="C37" s="380"/>
      <c r="D37" s="377"/>
      <c r="E37" s="377"/>
      <c r="F37" s="377"/>
      <c r="G37" s="377"/>
      <c r="H37" s="377"/>
      <c r="I37" s="377"/>
      <c r="J37" s="377"/>
      <c r="K37" s="377"/>
      <c r="L37" s="377"/>
      <c r="M37" s="379"/>
      <c r="N37" s="379"/>
    </row>
    <row r="38" spans="1:14" ht="12.75">
      <c r="A38" s="374" t="s">
        <v>368</v>
      </c>
      <c r="B38" s="375"/>
      <c r="C38" s="603"/>
      <c r="D38" s="81"/>
      <c r="E38" s="81"/>
      <c r="F38" s="81"/>
      <c r="G38" s="602"/>
      <c r="H38" s="81"/>
      <c r="I38" s="81"/>
      <c r="J38" s="81"/>
      <c r="K38" s="81"/>
      <c r="L38" s="602"/>
      <c r="M38" s="379"/>
      <c r="N38" s="379"/>
    </row>
    <row r="39" spans="1:14" ht="12.75">
      <c r="A39" s="380"/>
      <c r="B39" s="375"/>
      <c r="C39" s="376"/>
      <c r="D39" s="384"/>
      <c r="E39" s="377"/>
      <c r="F39" s="377"/>
      <c r="G39" s="377"/>
      <c r="H39" s="377"/>
      <c r="I39" s="377"/>
      <c r="J39" s="377"/>
      <c r="K39" s="377"/>
      <c r="L39" s="377"/>
      <c r="M39" s="379"/>
      <c r="N39" s="379"/>
    </row>
    <row r="40" spans="1:14" ht="12.75">
      <c r="A40" s="380"/>
      <c r="B40" s="375"/>
      <c r="C40" s="376" t="s">
        <v>398</v>
      </c>
      <c r="D40" s="377"/>
      <c r="E40" s="377"/>
      <c r="F40" s="377"/>
      <c r="G40" s="377"/>
      <c r="H40" s="377"/>
      <c r="I40" s="377"/>
      <c r="J40" s="377"/>
      <c r="K40" s="377"/>
      <c r="L40" s="377"/>
      <c r="M40" s="379"/>
      <c r="N40" s="379"/>
    </row>
    <row r="41" spans="1:15" ht="12.75">
      <c r="A41" s="380"/>
      <c r="B41" s="375"/>
      <c r="C41" s="385" t="s">
        <v>369</v>
      </c>
      <c r="D41" s="377"/>
      <c r="E41" s="377"/>
      <c r="F41" s="377"/>
      <c r="G41" s="377"/>
      <c r="H41" s="377"/>
      <c r="I41" s="377"/>
      <c r="J41" s="377"/>
      <c r="K41" s="377"/>
      <c r="L41" s="377"/>
      <c r="M41" s="379"/>
      <c r="N41" s="258"/>
      <c r="O41" s="257"/>
    </row>
    <row r="42" spans="1:15" ht="12.75">
      <c r="A42" s="380"/>
      <c r="B42" s="375"/>
      <c r="C42" s="385" t="s">
        <v>564</v>
      </c>
      <c r="D42" s="377"/>
      <c r="E42" s="377"/>
      <c r="F42" s="377"/>
      <c r="G42" s="377"/>
      <c r="H42" s="377"/>
      <c r="I42" s="377"/>
      <c r="J42" s="377"/>
      <c r="K42" s="377"/>
      <c r="L42" s="377"/>
      <c r="M42" s="379"/>
      <c r="N42" s="258"/>
      <c r="O42" s="379"/>
    </row>
    <row r="43" spans="3:15" ht="12.75">
      <c r="C43" s="375" t="s">
        <v>634</v>
      </c>
      <c r="D43" s="375"/>
      <c r="E43" s="375"/>
      <c r="F43" s="375"/>
      <c r="G43" s="375"/>
      <c r="H43" s="375"/>
      <c r="M43" s="379"/>
      <c r="N43" s="258"/>
      <c r="O43" s="379"/>
    </row>
    <row r="44" spans="13:15" ht="12.75">
      <c r="M44" s="379"/>
      <c r="N44" s="258"/>
      <c r="O44" s="379"/>
    </row>
  </sheetData>
  <sheetProtection/>
  <mergeCells count="6">
    <mergeCell ref="A1:O1"/>
    <mergeCell ref="A2:O2"/>
    <mergeCell ref="D7:G7"/>
    <mergeCell ref="H7:L7"/>
    <mergeCell ref="M7:O7"/>
    <mergeCell ref="A3:O3"/>
  </mergeCells>
  <printOptions/>
  <pageMargins left="0.5" right="0" top="0.75" bottom="0.75" header="0" footer="0.25"/>
  <pageSetup horizontalDpi="600" verticalDpi="600" orientation="portrait" scale="70" r:id="rId1"/>
  <headerFooter alignWithMargins="0">
    <oddFooter>&amp;C&amp;14- 18 -</oddFooter>
  </headerFooter>
  <ignoredErrors>
    <ignoredError sqref="A12:A13 A16 B29 B32 B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90" zoomScaleNormal="90" zoomScalePageLayoutView="0" workbookViewId="0" topLeftCell="A34">
      <selection activeCell="G13" sqref="G13"/>
    </sheetView>
  </sheetViews>
  <sheetFormatPr defaultColWidth="20.28125" defaultRowHeight="12.75"/>
  <cols>
    <col min="1" max="1" width="5.140625" style="25" customWidth="1"/>
    <col min="2" max="2" width="49.8515625" style="24" customWidth="1"/>
    <col min="3" max="3" width="16.7109375" style="63" bestFit="1" customWidth="1"/>
    <col min="4" max="4" width="1.8515625" style="17" customWidth="1"/>
    <col min="5" max="5" width="16.7109375" style="17" bestFit="1" customWidth="1"/>
    <col min="6" max="6" width="1.8515625" style="17" customWidth="1"/>
    <col min="7" max="7" width="16.140625" style="26" customWidth="1"/>
    <col min="8" max="8" width="2.7109375" style="26" customWidth="1"/>
    <col min="9" max="9" width="16.7109375" style="27" bestFit="1" customWidth="1"/>
    <col min="10" max="16384" width="20.28125" style="8" customWidth="1"/>
  </cols>
  <sheetData>
    <row r="1" spans="1:9" s="1" customFormat="1" ht="20.25">
      <c r="A1" s="904" t="s">
        <v>85</v>
      </c>
      <c r="B1" s="904"/>
      <c r="C1" s="904"/>
      <c r="D1" s="904"/>
      <c r="E1" s="904"/>
      <c r="F1" s="904"/>
      <c r="G1" s="904"/>
      <c r="H1" s="904"/>
      <c r="I1" s="904"/>
    </row>
    <row r="2" spans="1:9" s="2" customFormat="1" ht="18.75">
      <c r="A2" s="905" t="s">
        <v>1</v>
      </c>
      <c r="B2" s="905"/>
      <c r="C2" s="905"/>
      <c r="D2" s="905"/>
      <c r="E2" s="905"/>
      <c r="F2" s="905"/>
      <c r="G2" s="905"/>
      <c r="H2" s="905"/>
      <c r="I2" s="905"/>
    </row>
    <row r="3" spans="1:9" s="3" customFormat="1" ht="15">
      <c r="A3" s="906" t="s">
        <v>577</v>
      </c>
      <c r="B3" s="906"/>
      <c r="C3" s="906"/>
      <c r="D3" s="906"/>
      <c r="E3" s="906"/>
      <c r="F3" s="906"/>
      <c r="G3" s="906"/>
      <c r="H3" s="906"/>
      <c r="I3" s="906"/>
    </row>
    <row r="4" spans="1:9" s="3" customFormat="1" ht="15">
      <c r="A4" s="191"/>
      <c r="B4" s="191"/>
      <c r="C4" s="191"/>
      <c r="D4" s="191"/>
      <c r="E4" s="191"/>
      <c r="F4" s="191"/>
      <c r="G4" s="191"/>
      <c r="H4" s="191"/>
      <c r="I4" s="191"/>
    </row>
    <row r="5" spans="1:9" s="5" customFormat="1" ht="14.25">
      <c r="A5" s="4"/>
      <c r="B5" s="4"/>
      <c r="C5" s="4"/>
      <c r="D5" s="4"/>
      <c r="E5" s="4"/>
      <c r="F5" s="4"/>
      <c r="G5" s="4"/>
      <c r="H5" s="4"/>
      <c r="I5" s="67"/>
    </row>
    <row r="6" spans="1:9" s="5" customFormat="1" ht="14.25">
      <c r="A6" s="4"/>
      <c r="B6" s="4"/>
      <c r="C6" s="4"/>
      <c r="D6" s="4"/>
      <c r="E6" s="4"/>
      <c r="F6" s="4"/>
      <c r="G6" s="4"/>
      <c r="H6" s="4"/>
      <c r="I6" s="67"/>
    </row>
    <row r="7" spans="1:9" ht="12.75">
      <c r="A7" s="6"/>
      <c r="B7" s="7"/>
      <c r="C7" s="68"/>
      <c r="D7" s="68"/>
      <c r="E7" s="68"/>
      <c r="F7" s="68"/>
      <c r="G7" s="69"/>
      <c r="H7" s="69"/>
      <c r="I7" s="69"/>
    </row>
    <row r="8" spans="1:9" s="9" customFormat="1" ht="6" customHeight="1">
      <c r="A8" s="879" t="s">
        <v>2</v>
      </c>
      <c r="B8" s="880"/>
      <c r="C8" s="881"/>
      <c r="D8" s="881"/>
      <c r="E8" s="881"/>
      <c r="F8" s="881"/>
      <c r="G8" s="882"/>
      <c r="H8" s="882"/>
      <c r="I8" s="882"/>
    </row>
    <row r="9" spans="1:9" s="12" customFormat="1" ht="12.75">
      <c r="A9" s="879"/>
      <c r="B9" s="883"/>
      <c r="C9" s="884" t="s">
        <v>652</v>
      </c>
      <c r="D9" s="884"/>
      <c r="E9" s="885" t="s">
        <v>4</v>
      </c>
      <c r="F9" s="884"/>
      <c r="G9" s="25" t="s">
        <v>249</v>
      </c>
      <c r="H9" s="25"/>
      <c r="I9" s="25" t="s">
        <v>248</v>
      </c>
    </row>
    <row r="10" spans="1:9" s="12" customFormat="1" ht="12.75">
      <c r="A10" s="886" t="s">
        <v>5</v>
      </c>
      <c r="B10" s="14"/>
      <c r="C10" s="884" t="s">
        <v>653</v>
      </c>
      <c r="D10" s="884"/>
      <c r="E10" s="884" t="s">
        <v>307</v>
      </c>
      <c r="F10" s="884"/>
      <c r="G10" s="14" t="s">
        <v>250</v>
      </c>
      <c r="H10" s="14"/>
      <c r="I10" s="14" t="s">
        <v>6</v>
      </c>
    </row>
    <row r="11" spans="1:9" s="12" customFormat="1" ht="12.75">
      <c r="A11" s="887"/>
      <c r="B11" s="887"/>
      <c r="C11" s="888">
        <v>41821</v>
      </c>
      <c r="D11" s="889"/>
      <c r="E11" s="890">
        <v>42129</v>
      </c>
      <c r="F11" s="889"/>
      <c r="G11" s="14" t="s">
        <v>578</v>
      </c>
      <c r="H11" s="891"/>
      <c r="I11" s="890">
        <v>42282</v>
      </c>
    </row>
    <row r="12" spans="1:9" s="12" customFormat="1" ht="6" customHeight="1">
      <c r="A12" s="13"/>
      <c r="B12" s="13"/>
      <c r="C12" s="64"/>
      <c r="D12" s="65"/>
      <c r="E12" s="65"/>
      <c r="F12" s="65"/>
      <c r="G12" s="66"/>
      <c r="H12" s="66"/>
      <c r="I12" s="66"/>
    </row>
    <row r="13" spans="1:9" ht="12.75">
      <c r="A13" s="14"/>
      <c r="B13" s="15"/>
      <c r="C13" s="10"/>
      <c r="D13" s="10"/>
      <c r="E13" s="10"/>
      <c r="F13" s="10"/>
      <c r="I13" s="67"/>
    </row>
    <row r="14" spans="1:9" ht="13.5" customHeight="1">
      <c r="A14" s="16">
        <v>401</v>
      </c>
      <c r="B14" s="855" t="s">
        <v>316</v>
      </c>
      <c r="C14" s="856">
        <v>5546675841</v>
      </c>
      <c r="D14" s="857"/>
      <c r="E14" s="856">
        <v>5703775758</v>
      </c>
      <c r="F14" s="857"/>
      <c r="G14" s="856">
        <f>+I14-E14</f>
        <v>9711963</v>
      </c>
      <c r="H14" s="857"/>
      <c r="I14" s="856">
        <v>5713487721</v>
      </c>
    </row>
    <row r="15" spans="1:9" ht="13.5" customHeight="1">
      <c r="A15" s="16">
        <v>402</v>
      </c>
      <c r="B15" s="855" t="s">
        <v>317</v>
      </c>
      <c r="C15" s="858">
        <v>687479150</v>
      </c>
      <c r="D15" s="8"/>
      <c r="E15" s="859">
        <v>704227362</v>
      </c>
      <c r="F15" s="8"/>
      <c r="G15" s="860">
        <f aca="true" t="shared" si="0" ref="G15:G38">+I15-E15</f>
        <v>-42925049</v>
      </c>
      <c r="H15" s="860"/>
      <c r="I15" s="859">
        <v>661302313</v>
      </c>
    </row>
    <row r="16" spans="1:9" ht="13.5" customHeight="1">
      <c r="A16" s="16">
        <v>403</v>
      </c>
      <c r="B16" s="15" t="s">
        <v>318</v>
      </c>
      <c r="C16" s="858">
        <v>1281496733</v>
      </c>
      <c r="D16" s="8"/>
      <c r="E16" s="859">
        <v>1319152590</v>
      </c>
      <c r="F16" s="8"/>
      <c r="G16" s="860">
        <f t="shared" si="0"/>
        <v>68582415</v>
      </c>
      <c r="H16" s="860"/>
      <c r="I16" s="859">
        <v>1387735005</v>
      </c>
    </row>
    <row r="17" spans="1:9" ht="13.5" customHeight="1">
      <c r="A17" s="16">
        <v>404</v>
      </c>
      <c r="B17" s="15" t="s">
        <v>319</v>
      </c>
      <c r="C17" s="858">
        <v>3825007</v>
      </c>
      <c r="D17" s="8"/>
      <c r="E17" s="859">
        <v>4016257</v>
      </c>
      <c r="F17" s="8"/>
      <c r="G17" s="860">
        <f t="shared" si="0"/>
        <v>0</v>
      </c>
      <c r="H17" s="860"/>
      <c r="I17" s="859">
        <v>4016257</v>
      </c>
    </row>
    <row r="18" spans="1:9" ht="13.5" customHeight="1">
      <c r="A18" s="16">
        <v>406</v>
      </c>
      <c r="B18" s="15" t="s">
        <v>541</v>
      </c>
      <c r="C18" s="858">
        <v>1297014015</v>
      </c>
      <c r="D18" s="8"/>
      <c r="E18" s="859">
        <v>1308443841</v>
      </c>
      <c r="F18" s="8"/>
      <c r="G18" s="860">
        <f t="shared" si="0"/>
        <v>571025</v>
      </c>
      <c r="H18" s="860"/>
      <c r="I18" s="859">
        <v>1309014866</v>
      </c>
    </row>
    <row r="19" spans="1:9" ht="13.5" customHeight="1">
      <c r="A19" s="16">
        <v>415</v>
      </c>
      <c r="B19" s="15" t="s">
        <v>320</v>
      </c>
      <c r="C19" s="858">
        <v>236994679</v>
      </c>
      <c r="D19" s="8"/>
      <c r="E19" s="859">
        <v>240945889</v>
      </c>
      <c r="F19" s="8"/>
      <c r="G19" s="860">
        <f t="shared" si="0"/>
        <v>-9599701</v>
      </c>
      <c r="H19" s="860"/>
      <c r="I19" s="859">
        <v>231346188</v>
      </c>
    </row>
    <row r="20" spans="1:9" ht="13.5" customHeight="1">
      <c r="A20" s="16">
        <v>416</v>
      </c>
      <c r="B20" s="15" t="s">
        <v>321</v>
      </c>
      <c r="C20" s="858">
        <v>37897882</v>
      </c>
      <c r="D20" s="8"/>
      <c r="E20" s="859">
        <v>40568831</v>
      </c>
      <c r="F20" s="8"/>
      <c r="G20" s="860">
        <f t="shared" si="0"/>
        <v>-829369</v>
      </c>
      <c r="H20" s="860"/>
      <c r="I20" s="859">
        <v>39739462</v>
      </c>
    </row>
    <row r="21" spans="1:9" ht="13.5" customHeight="1">
      <c r="A21" s="16">
        <v>421</v>
      </c>
      <c r="B21" s="15" t="s">
        <v>261</v>
      </c>
      <c r="C21" s="858">
        <v>864782215</v>
      </c>
      <c r="D21" s="8"/>
      <c r="E21" s="859">
        <v>886849400</v>
      </c>
      <c r="F21" s="8"/>
      <c r="G21" s="860">
        <f t="shared" si="0"/>
        <v>-10855585</v>
      </c>
      <c r="H21" s="860"/>
      <c r="I21" s="859">
        <v>875993815</v>
      </c>
    </row>
    <row r="22" spans="1:9" ht="13.5" customHeight="1">
      <c r="A22" s="16">
        <v>422</v>
      </c>
      <c r="B22" s="15" t="s">
        <v>266</v>
      </c>
      <c r="C22" s="858">
        <v>16415090</v>
      </c>
      <c r="D22" s="8"/>
      <c r="E22" s="859">
        <v>21800000</v>
      </c>
      <c r="F22" s="8"/>
      <c r="G22" s="860">
        <f t="shared" si="0"/>
        <v>-134673</v>
      </c>
      <c r="H22" s="860"/>
      <c r="I22" s="859">
        <v>21665327</v>
      </c>
    </row>
    <row r="23" spans="1:9" ht="13.5" customHeight="1">
      <c r="A23" s="16">
        <v>423</v>
      </c>
      <c r="B23" s="15" t="s">
        <v>267</v>
      </c>
      <c r="C23" s="858">
        <v>244149436</v>
      </c>
      <c r="D23" s="8"/>
      <c r="E23" s="859">
        <v>254001889</v>
      </c>
      <c r="F23" s="8"/>
      <c r="G23" s="860">
        <f t="shared" si="0"/>
        <v>-1538392</v>
      </c>
      <c r="H23" s="860"/>
      <c r="I23" s="859">
        <v>252463497</v>
      </c>
    </row>
    <row r="24" spans="1:9" ht="13.5" customHeight="1">
      <c r="A24" s="16">
        <v>424</v>
      </c>
      <c r="B24" s="15" t="s">
        <v>268</v>
      </c>
      <c r="C24" s="858">
        <v>222742139</v>
      </c>
      <c r="D24" s="8"/>
      <c r="E24" s="859">
        <v>224200150</v>
      </c>
      <c r="F24" s="8"/>
      <c r="G24" s="861">
        <f t="shared" si="0"/>
        <v>6521121</v>
      </c>
      <c r="H24" s="861"/>
      <c r="I24" s="859">
        <v>230721271</v>
      </c>
    </row>
    <row r="25" spans="1:9" ht="13.5" customHeight="1">
      <c r="A25" s="217">
        <v>435</v>
      </c>
      <c r="B25" s="862" t="s">
        <v>269</v>
      </c>
      <c r="C25" s="863">
        <v>392055400</v>
      </c>
      <c r="D25" s="864"/>
      <c r="E25" s="865">
        <v>427262126</v>
      </c>
      <c r="F25" s="864"/>
      <c r="G25" s="861">
        <f t="shared" si="0"/>
        <v>6731259</v>
      </c>
      <c r="H25" s="861"/>
      <c r="I25" s="865">
        <v>433993385</v>
      </c>
    </row>
    <row r="26" spans="1:9" ht="13.5" customHeight="1">
      <c r="A26" s="16">
        <v>436</v>
      </c>
      <c r="B26" s="15" t="s">
        <v>270</v>
      </c>
      <c r="C26" s="858">
        <v>241857020</v>
      </c>
      <c r="D26" s="8"/>
      <c r="E26" s="859">
        <v>288732858</v>
      </c>
      <c r="F26" s="8"/>
      <c r="G26" s="861">
        <f t="shared" si="0"/>
        <v>147456281</v>
      </c>
      <c r="H26" s="866" t="s">
        <v>476</v>
      </c>
      <c r="I26" s="859">
        <v>436189139</v>
      </c>
    </row>
    <row r="27" spans="1:9" ht="13.5" customHeight="1">
      <c r="A27" s="16">
        <v>438</v>
      </c>
      <c r="B27" s="15" t="s">
        <v>271</v>
      </c>
      <c r="C27" s="858">
        <v>1110206095</v>
      </c>
      <c r="D27" s="8"/>
      <c r="E27" s="859">
        <v>1111596095</v>
      </c>
      <c r="F27" s="8"/>
      <c r="G27" s="860">
        <f t="shared" si="0"/>
        <v>32241743</v>
      </c>
      <c r="H27" s="860"/>
      <c r="I27" s="859">
        <v>1143837838</v>
      </c>
    </row>
    <row r="28" spans="1:9" ht="13.5" customHeight="1">
      <c r="A28" s="16">
        <v>439</v>
      </c>
      <c r="B28" s="15" t="s">
        <v>272</v>
      </c>
      <c r="C28" s="858">
        <v>196962545</v>
      </c>
      <c r="D28" s="8"/>
      <c r="E28" s="859">
        <v>203555588</v>
      </c>
      <c r="F28" s="8"/>
      <c r="G28" s="860">
        <f t="shared" si="0"/>
        <v>11190041</v>
      </c>
      <c r="H28" s="860"/>
      <c r="I28" s="859">
        <v>214745629</v>
      </c>
    </row>
    <row r="29" spans="1:9" ht="13.5" customHeight="1">
      <c r="A29" s="16">
        <v>440</v>
      </c>
      <c r="B29" s="15" t="s">
        <v>273</v>
      </c>
      <c r="C29" s="858">
        <v>239453603</v>
      </c>
      <c r="D29" s="8"/>
      <c r="E29" s="859">
        <v>243521727</v>
      </c>
      <c r="F29" s="8"/>
      <c r="G29" s="860">
        <f t="shared" si="0"/>
        <v>-11893347</v>
      </c>
      <c r="H29" s="860"/>
      <c r="I29" s="859">
        <v>231628380</v>
      </c>
    </row>
    <row r="30" spans="1:9" ht="13.5" customHeight="1">
      <c r="A30" s="16">
        <v>442</v>
      </c>
      <c r="B30" s="15" t="s">
        <v>274</v>
      </c>
      <c r="C30" s="858">
        <v>313416443</v>
      </c>
      <c r="D30" s="8"/>
      <c r="E30" s="859">
        <v>327814743</v>
      </c>
      <c r="F30" s="8"/>
      <c r="G30" s="860">
        <f t="shared" si="0"/>
        <v>2765779</v>
      </c>
      <c r="H30" s="860"/>
      <c r="I30" s="859">
        <v>330580522</v>
      </c>
    </row>
    <row r="31" spans="1:9" ht="13.5" customHeight="1">
      <c r="A31" s="16">
        <v>444</v>
      </c>
      <c r="B31" s="15" t="s">
        <v>275</v>
      </c>
      <c r="C31" s="858">
        <v>506002476</v>
      </c>
      <c r="D31" s="8"/>
      <c r="E31" s="859">
        <v>506026262</v>
      </c>
      <c r="F31" s="8"/>
      <c r="G31" s="860">
        <f t="shared" si="0"/>
        <v>-37806505</v>
      </c>
      <c r="H31" s="860"/>
      <c r="I31" s="859">
        <v>468219757</v>
      </c>
    </row>
    <row r="32" spans="1:9" ht="13.5" customHeight="1">
      <c r="A32" s="16">
        <v>453</v>
      </c>
      <c r="B32" s="15" t="s">
        <v>277</v>
      </c>
      <c r="C32" s="858">
        <v>148184370</v>
      </c>
      <c r="D32" s="8"/>
      <c r="E32" s="859">
        <v>161555803</v>
      </c>
      <c r="F32" s="8"/>
      <c r="G32" s="860">
        <f t="shared" si="0"/>
        <v>2391484</v>
      </c>
      <c r="H32" s="860"/>
      <c r="I32" s="859">
        <v>163947287</v>
      </c>
    </row>
    <row r="33" spans="1:9" ht="13.5" customHeight="1">
      <c r="A33" s="16">
        <v>454</v>
      </c>
      <c r="B33" s="15" t="s">
        <v>276</v>
      </c>
      <c r="C33" s="858">
        <v>160477938</v>
      </c>
      <c r="D33" s="8"/>
      <c r="E33" s="859">
        <v>170206824</v>
      </c>
      <c r="F33" s="8"/>
      <c r="G33" s="860">
        <f t="shared" si="0"/>
        <v>1150329</v>
      </c>
      <c r="H33" s="860"/>
      <c r="I33" s="859">
        <v>171357153</v>
      </c>
    </row>
    <row r="34" spans="1:9" ht="13.5" customHeight="1">
      <c r="A34" s="16">
        <v>461</v>
      </c>
      <c r="B34" s="15" t="s">
        <v>278</v>
      </c>
      <c r="C34" s="858">
        <v>2893588844</v>
      </c>
      <c r="D34" s="8"/>
      <c r="E34" s="859">
        <v>2921986173</v>
      </c>
      <c r="F34" s="8"/>
      <c r="G34" s="860">
        <f t="shared" si="0"/>
        <v>-45419726</v>
      </c>
      <c r="H34" s="860"/>
      <c r="I34" s="859">
        <v>2876566447</v>
      </c>
    </row>
    <row r="35" spans="1:9" ht="13.5" customHeight="1">
      <c r="A35" s="16">
        <v>470</v>
      </c>
      <c r="B35" s="15" t="s">
        <v>280</v>
      </c>
      <c r="C35" s="858">
        <v>947670670</v>
      </c>
      <c r="D35" s="8"/>
      <c r="E35" s="859">
        <v>947670670</v>
      </c>
      <c r="F35" s="8"/>
      <c r="G35" s="860">
        <f t="shared" si="0"/>
        <v>-102364566</v>
      </c>
      <c r="H35" s="860"/>
      <c r="I35" s="859">
        <v>845306104</v>
      </c>
    </row>
    <row r="36" spans="1:9" ht="13.5" customHeight="1">
      <c r="A36" s="16">
        <v>472</v>
      </c>
      <c r="B36" s="15" t="s">
        <v>542</v>
      </c>
      <c r="C36" s="858">
        <v>628878896</v>
      </c>
      <c r="D36" s="8"/>
      <c r="E36" s="859">
        <v>617449070</v>
      </c>
      <c r="F36" s="8"/>
      <c r="G36" s="860">
        <f t="shared" si="0"/>
        <v>24164615</v>
      </c>
      <c r="H36" s="860"/>
      <c r="I36" s="859">
        <v>641613685</v>
      </c>
    </row>
    <row r="37" spans="1:9" ht="13.5" customHeight="1">
      <c r="A37" s="16">
        <v>474</v>
      </c>
      <c r="B37" s="15" t="s">
        <v>279</v>
      </c>
      <c r="C37" s="858">
        <v>64745284</v>
      </c>
      <c r="D37" s="8"/>
      <c r="E37" s="859">
        <v>66566027</v>
      </c>
      <c r="F37" s="8"/>
      <c r="G37" s="860">
        <f t="shared" si="0"/>
        <v>-1480029</v>
      </c>
      <c r="H37" s="860"/>
      <c r="I37" s="859">
        <v>65085998</v>
      </c>
    </row>
    <row r="38" spans="1:9" ht="13.5" customHeight="1">
      <c r="A38" s="217">
        <v>491</v>
      </c>
      <c r="B38" s="862" t="s">
        <v>15</v>
      </c>
      <c r="C38" s="861">
        <v>250855171</v>
      </c>
      <c r="D38" s="864"/>
      <c r="E38" s="865">
        <v>10976991</v>
      </c>
      <c r="F38" s="864"/>
      <c r="G38" s="861">
        <f t="shared" si="0"/>
        <v>-10976991</v>
      </c>
      <c r="H38" s="861"/>
      <c r="I38" s="865">
        <v>0</v>
      </c>
    </row>
    <row r="39" spans="1:9" ht="6.75" customHeight="1">
      <c r="A39" s="16"/>
      <c r="B39" s="18"/>
      <c r="C39" s="17"/>
      <c r="I39" s="67"/>
    </row>
    <row r="40" spans="1:9" ht="12.75" hidden="1">
      <c r="A40" s="16"/>
      <c r="B40" s="18"/>
      <c r="C40" s="17"/>
      <c r="I40" s="67"/>
    </row>
    <row r="41" spans="1:9" ht="15" customHeight="1">
      <c r="A41" s="867" t="s">
        <v>8</v>
      </c>
      <c r="B41" s="19"/>
      <c r="C41" s="868">
        <f>SUM(C14:C40)</f>
        <v>18533826942</v>
      </c>
      <c r="D41" s="869"/>
      <c r="E41" s="868">
        <f>SUM(E14:E40)</f>
        <v>18712902924</v>
      </c>
      <c r="F41" s="869"/>
      <c r="G41" s="868">
        <f>SUM(G14:G40)</f>
        <v>37654122</v>
      </c>
      <c r="H41" s="869"/>
      <c r="I41" s="868">
        <f>SUM(I14:I40)</f>
        <v>18750557046</v>
      </c>
    </row>
    <row r="42" spans="1:9" ht="6.75" customHeight="1">
      <c r="A42" s="58"/>
      <c r="B42" s="59"/>
      <c r="C42" s="60"/>
      <c r="D42" s="60"/>
      <c r="E42" s="136"/>
      <c r="F42" s="136"/>
      <c r="I42" s="67"/>
    </row>
    <row r="43" spans="1:9" ht="13.5" customHeight="1">
      <c r="A43" s="16">
        <v>481</v>
      </c>
      <c r="B43" s="15" t="s">
        <v>9</v>
      </c>
      <c r="C43" s="860">
        <v>1235144239</v>
      </c>
      <c r="D43" s="8"/>
      <c r="E43" s="859">
        <v>1211874822</v>
      </c>
      <c r="F43" s="8"/>
      <c r="G43" s="860">
        <f>+I43-E43</f>
        <v>30537943</v>
      </c>
      <c r="H43" s="860"/>
      <c r="I43" s="859">
        <v>1242412765</v>
      </c>
    </row>
    <row r="44" spans="1:9" ht="13.5" customHeight="1">
      <c r="A44" s="16">
        <v>482</v>
      </c>
      <c r="B44" s="15" t="s">
        <v>10</v>
      </c>
      <c r="C44" s="858">
        <v>980352772</v>
      </c>
      <c r="D44" s="8"/>
      <c r="E44" s="859">
        <v>986270226</v>
      </c>
      <c r="F44" s="8"/>
      <c r="G44" s="860">
        <f>+I44-E44</f>
        <v>24345274</v>
      </c>
      <c r="H44" s="860"/>
      <c r="I44" s="859">
        <v>1010615500</v>
      </c>
    </row>
    <row r="45" spans="1:9" ht="6.75" customHeight="1">
      <c r="A45" s="14"/>
      <c r="B45" s="18"/>
      <c r="C45" s="17"/>
      <c r="I45" s="67"/>
    </row>
    <row r="46" spans="1:9" ht="15" customHeight="1">
      <c r="A46" s="867" t="s">
        <v>11</v>
      </c>
      <c r="B46" s="20"/>
      <c r="C46" s="868">
        <f>SUM(C43:C45)</f>
        <v>2215497011</v>
      </c>
      <c r="D46" s="869"/>
      <c r="E46" s="868">
        <f>SUM(E43:E45)</f>
        <v>2198145048</v>
      </c>
      <c r="F46" s="869"/>
      <c r="G46" s="868">
        <f>SUM(G43:G45)</f>
        <v>54883217</v>
      </c>
      <c r="H46" s="869"/>
      <c r="I46" s="868">
        <f>SUM(I43:I45)</f>
        <v>2253028265</v>
      </c>
    </row>
    <row r="47" spans="1:9" ht="11.25" customHeight="1" thickBot="1">
      <c r="A47" s="14"/>
      <c r="B47" s="15"/>
      <c r="C47" s="8"/>
      <c r="D47" s="8"/>
      <c r="E47" s="8"/>
      <c r="F47" s="8"/>
      <c r="G47" s="860"/>
      <c r="H47" s="860"/>
      <c r="I47" s="859"/>
    </row>
    <row r="48" spans="1:9" s="21" customFormat="1" ht="15" customHeight="1" thickBot="1" thickTop="1">
      <c r="A48" s="870" t="s">
        <v>12</v>
      </c>
      <c r="B48" s="871"/>
      <c r="C48" s="872">
        <f>C46+C41</f>
        <v>20749323953</v>
      </c>
      <c r="D48" s="872"/>
      <c r="E48" s="872">
        <f>E46+E41</f>
        <v>20911047972</v>
      </c>
      <c r="F48" s="872"/>
      <c r="G48" s="872">
        <f>G46+G41</f>
        <v>92537339</v>
      </c>
      <c r="H48" s="872"/>
      <c r="I48" s="872">
        <f>I46+I41</f>
        <v>21003585311</v>
      </c>
    </row>
    <row r="49" spans="1:9" ht="8.25" customHeight="1" thickTop="1">
      <c r="A49" s="22"/>
      <c r="B49" s="23"/>
      <c r="C49" s="70"/>
      <c r="D49" s="71"/>
      <c r="E49" s="71"/>
      <c r="F49" s="71"/>
      <c r="G49" s="72"/>
      <c r="H49" s="72"/>
      <c r="I49" s="67"/>
    </row>
    <row r="50" spans="1:9" ht="12.75">
      <c r="A50" s="15" t="s">
        <v>13</v>
      </c>
      <c r="B50" s="873" t="s">
        <v>14</v>
      </c>
      <c r="C50" s="24"/>
      <c r="D50" s="24"/>
      <c r="E50" s="24"/>
      <c r="F50" s="24"/>
      <c r="G50" s="874"/>
      <c r="H50" s="874"/>
      <c r="I50" s="858"/>
    </row>
    <row r="51" spans="1:9" ht="12.75">
      <c r="A51" s="862"/>
      <c r="B51" s="862" t="s">
        <v>628</v>
      </c>
      <c r="C51" s="875"/>
      <c r="D51" s="875"/>
      <c r="E51" s="863"/>
      <c r="F51" s="863"/>
      <c r="G51" s="863"/>
      <c r="H51" s="863"/>
      <c r="I51" s="876">
        <v>3273102873</v>
      </c>
    </row>
    <row r="52" spans="1:9" ht="12.75">
      <c r="A52" s="862"/>
      <c r="B52" s="862" t="s">
        <v>619</v>
      </c>
      <c r="C52" s="875"/>
      <c r="D52" s="875"/>
      <c r="E52" s="863"/>
      <c r="F52" s="863"/>
      <c r="G52" s="863"/>
      <c r="H52" s="863"/>
      <c r="I52" s="863">
        <f>989658564+2500000</f>
        <v>992158564</v>
      </c>
    </row>
    <row r="53" spans="3:9" ht="8.25" customHeight="1" thickBot="1">
      <c r="C53" s="24"/>
      <c r="D53" s="8"/>
      <c r="E53" s="8"/>
      <c r="F53" s="8"/>
      <c r="G53" s="860"/>
      <c r="H53" s="860"/>
      <c r="I53" s="858"/>
    </row>
    <row r="54" spans="1:9" ht="15" customHeight="1" thickBot="1" thickTop="1">
      <c r="A54" s="870" t="s">
        <v>182</v>
      </c>
      <c r="B54" s="871"/>
      <c r="C54" s="877"/>
      <c r="D54" s="877"/>
      <c r="E54" s="877"/>
      <c r="F54" s="877"/>
      <c r="G54" s="878"/>
      <c r="H54" s="878"/>
      <c r="I54" s="872">
        <f>SUM(I48:I52)</f>
        <v>25268846748</v>
      </c>
    </row>
    <row r="55" ht="13.5" thickTop="1"/>
    <row r="57" spans="1:2" ht="13.5" customHeight="1">
      <c r="A57" s="562" t="s">
        <v>476</v>
      </c>
      <c r="B57" s="63" t="s">
        <v>579</v>
      </c>
    </row>
  </sheetData>
  <sheetProtection/>
  <mergeCells count="3">
    <mergeCell ref="A1:I1"/>
    <mergeCell ref="A2:I2"/>
    <mergeCell ref="A3:I3"/>
  </mergeCells>
  <printOptions horizontalCentered="1"/>
  <pageMargins left="0.3" right="0.25" top="0.75" bottom="0.75" header="0.5" footer="0.25"/>
  <pageSetup horizontalDpi="600" verticalDpi="600" orientation="portrait" scale="80" r:id="rId1"/>
  <headerFooter alignWithMargins="0">
    <oddFooter>&amp;C&amp;14- 1 -</oddFooter>
  </headerFooter>
  <ignoredErrors>
    <ignoredError sqref="H26 A5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xSplit="2" ySplit="8" topLeftCell="C9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9.28125" style="592" bestFit="1" customWidth="1"/>
    <col min="2" max="2" width="37.7109375" style="593" customWidth="1"/>
    <col min="3" max="10" width="11.7109375" style="593" customWidth="1"/>
    <col min="11" max="12" width="11.7109375" style="537" customWidth="1"/>
    <col min="13" max="16384" width="9.140625" style="537" customWidth="1"/>
  </cols>
  <sheetData>
    <row r="1" spans="1:12" s="48" customFormat="1" ht="23.25">
      <c r="A1" s="957" t="s">
        <v>85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</row>
    <row r="2" spans="1:12" s="48" customFormat="1" ht="20.25">
      <c r="A2" s="956" t="s">
        <v>637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</row>
    <row r="3" spans="1:10" s="48" customFormat="1" ht="18.75">
      <c r="A3" s="533"/>
      <c r="B3" s="534"/>
      <c r="C3" s="534"/>
      <c r="D3" s="534"/>
      <c r="E3" s="534"/>
      <c r="F3" s="534"/>
      <c r="G3" s="534"/>
      <c r="H3" s="534"/>
      <c r="I3" s="534"/>
      <c r="J3" s="534"/>
    </row>
    <row r="4" spans="1:12" s="535" customFormat="1" ht="12">
      <c r="A4" s="566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12" s="535" customFormat="1" ht="12">
      <c r="A5" s="568"/>
      <c r="B5" s="569"/>
      <c r="C5" s="569" t="s">
        <v>440</v>
      </c>
      <c r="D5" s="569" t="s">
        <v>440</v>
      </c>
      <c r="E5" s="569"/>
      <c r="F5" s="569" t="s">
        <v>440</v>
      </c>
      <c r="G5" s="569"/>
      <c r="H5" s="569" t="s">
        <v>440</v>
      </c>
      <c r="I5" s="569"/>
      <c r="J5" s="569" t="s">
        <v>440</v>
      </c>
      <c r="K5" s="569"/>
      <c r="L5" s="569"/>
    </row>
    <row r="6" spans="1:12" s="535" customFormat="1" ht="12">
      <c r="A6" s="568"/>
      <c r="B6" s="570"/>
      <c r="C6" s="569" t="s">
        <v>184</v>
      </c>
      <c r="D6" s="569" t="s">
        <v>184</v>
      </c>
      <c r="E6" s="569" t="s">
        <v>529</v>
      </c>
      <c r="F6" s="569" t="s">
        <v>184</v>
      </c>
      <c r="G6" s="645" t="s">
        <v>530</v>
      </c>
      <c r="H6" s="569" t="s">
        <v>184</v>
      </c>
      <c r="I6" s="645" t="s">
        <v>644</v>
      </c>
      <c r="J6" s="569" t="s">
        <v>184</v>
      </c>
      <c r="K6" s="569" t="s">
        <v>638</v>
      </c>
      <c r="L6" s="569" t="s">
        <v>531</v>
      </c>
    </row>
    <row r="7" spans="1:12" s="536" customFormat="1" ht="12">
      <c r="A7" s="571" t="s">
        <v>371</v>
      </c>
      <c r="B7" s="572" t="s">
        <v>441</v>
      </c>
      <c r="C7" s="573" t="s">
        <v>639</v>
      </c>
      <c r="D7" s="573" t="s">
        <v>640</v>
      </c>
      <c r="E7" s="572" t="s">
        <v>442</v>
      </c>
      <c r="F7" s="573" t="s">
        <v>641</v>
      </c>
      <c r="G7" s="572" t="s">
        <v>442</v>
      </c>
      <c r="H7" s="573" t="s">
        <v>642</v>
      </c>
      <c r="I7" s="572" t="s">
        <v>442</v>
      </c>
      <c r="J7" s="573" t="s">
        <v>643</v>
      </c>
      <c r="K7" s="572" t="s">
        <v>442</v>
      </c>
      <c r="L7" s="572" t="s">
        <v>442</v>
      </c>
    </row>
    <row r="8" spans="1:12" ht="12.75">
      <c r="A8" s="568"/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</row>
    <row r="9" spans="1:12" ht="12.75">
      <c r="A9" s="574" t="s">
        <v>443</v>
      </c>
      <c r="B9" s="570" t="s">
        <v>444</v>
      </c>
      <c r="C9" s="627">
        <v>67424</v>
      </c>
      <c r="D9" s="627">
        <v>67415</v>
      </c>
      <c r="E9" s="627">
        <f>+D9-C9</f>
        <v>-9</v>
      </c>
      <c r="F9" s="627">
        <v>67343.4</v>
      </c>
      <c r="G9" s="627">
        <f>+F9-D9</f>
        <v>-71.60000000000582</v>
      </c>
      <c r="H9" s="627">
        <v>67453</v>
      </c>
      <c r="I9" s="627">
        <f>+H9-F9</f>
        <v>109.60000000000582</v>
      </c>
      <c r="J9" s="627">
        <v>67275</v>
      </c>
      <c r="K9" s="627">
        <f>+J9-H9</f>
        <v>-178</v>
      </c>
      <c r="L9" s="627">
        <f aca="true" t="shared" si="0" ref="L9:L24">+J9-C9</f>
        <v>-149</v>
      </c>
    </row>
    <row r="10" spans="1:12" ht="12.75">
      <c r="A10" s="568"/>
      <c r="B10" s="570" t="s">
        <v>445</v>
      </c>
      <c r="C10" s="627">
        <v>4392</v>
      </c>
      <c r="D10" s="627">
        <v>4397</v>
      </c>
      <c r="E10" s="627">
        <f aca="true" t="shared" si="1" ref="E10:E26">+D10-C10</f>
        <v>5</v>
      </c>
      <c r="F10" s="627">
        <v>4398</v>
      </c>
      <c r="G10" s="627">
        <f aca="true" t="shared" si="2" ref="G10:G26">+F10-D10</f>
        <v>1</v>
      </c>
      <c r="H10" s="627">
        <v>4382</v>
      </c>
      <c r="I10" s="627">
        <f aca="true" t="shared" si="3" ref="I10:I26">+H10-F10</f>
        <v>-16</v>
      </c>
      <c r="J10" s="627">
        <v>4367</v>
      </c>
      <c r="K10" s="627">
        <f aca="true" t="shared" si="4" ref="K10:K26">+J10-H10</f>
        <v>-15</v>
      </c>
      <c r="L10" s="627">
        <f t="shared" si="0"/>
        <v>-25</v>
      </c>
    </row>
    <row r="11" spans="1:12" ht="12.75">
      <c r="A11" s="568">
        <v>403</v>
      </c>
      <c r="B11" s="570" t="s">
        <v>446</v>
      </c>
      <c r="C11" s="627">
        <v>22951</v>
      </c>
      <c r="D11" s="627">
        <v>23177</v>
      </c>
      <c r="E11" s="627">
        <f t="shared" si="1"/>
        <v>226</v>
      </c>
      <c r="F11" s="627">
        <v>23688</v>
      </c>
      <c r="G11" s="627">
        <f t="shared" si="2"/>
        <v>511</v>
      </c>
      <c r="H11" s="627">
        <v>24025</v>
      </c>
      <c r="I11" s="627">
        <f t="shared" si="3"/>
        <v>337</v>
      </c>
      <c r="J11" s="627">
        <v>24346</v>
      </c>
      <c r="K11" s="627">
        <f t="shared" si="4"/>
        <v>321</v>
      </c>
      <c r="L11" s="627">
        <f t="shared" si="0"/>
        <v>1395</v>
      </c>
    </row>
    <row r="12" spans="1:12" ht="12.75">
      <c r="A12" s="568"/>
      <c r="B12" s="570" t="s">
        <v>445</v>
      </c>
      <c r="C12" s="627">
        <v>98</v>
      </c>
      <c r="D12" s="627">
        <v>98</v>
      </c>
      <c r="E12" s="627">
        <f t="shared" si="1"/>
        <v>0</v>
      </c>
      <c r="F12" s="627">
        <v>96</v>
      </c>
      <c r="G12" s="627">
        <f t="shared" si="2"/>
        <v>-2</v>
      </c>
      <c r="H12" s="627">
        <v>96</v>
      </c>
      <c r="I12" s="627">
        <f t="shared" si="3"/>
        <v>0</v>
      </c>
      <c r="J12" s="627">
        <v>96</v>
      </c>
      <c r="K12" s="627">
        <f t="shared" si="4"/>
        <v>0</v>
      </c>
      <c r="L12" s="627">
        <f t="shared" si="0"/>
        <v>-2</v>
      </c>
    </row>
    <row r="13" spans="1:12" ht="12.75">
      <c r="A13" s="568">
        <v>415</v>
      </c>
      <c r="B13" s="570" t="s">
        <v>447</v>
      </c>
      <c r="C13" s="627">
        <v>2383</v>
      </c>
      <c r="D13" s="627">
        <v>2439</v>
      </c>
      <c r="E13" s="627">
        <f t="shared" si="1"/>
        <v>56</v>
      </c>
      <c r="F13" s="627">
        <v>2446</v>
      </c>
      <c r="G13" s="627">
        <f t="shared" si="2"/>
        <v>7</v>
      </c>
      <c r="H13" s="627">
        <v>2445</v>
      </c>
      <c r="I13" s="627">
        <f t="shared" si="3"/>
        <v>-1</v>
      </c>
      <c r="J13" s="627">
        <v>2395</v>
      </c>
      <c r="K13" s="627">
        <f t="shared" si="4"/>
        <v>-50</v>
      </c>
      <c r="L13" s="627">
        <f t="shared" si="0"/>
        <v>12</v>
      </c>
    </row>
    <row r="14" spans="1:12" ht="12.75">
      <c r="A14" s="568"/>
      <c r="B14" s="570" t="s">
        <v>445</v>
      </c>
      <c r="C14" s="627">
        <v>0</v>
      </c>
      <c r="D14" s="627">
        <v>0</v>
      </c>
      <c r="E14" s="627">
        <f t="shared" si="1"/>
        <v>0</v>
      </c>
      <c r="F14" s="627">
        <v>0</v>
      </c>
      <c r="G14" s="627">
        <f t="shared" si="2"/>
        <v>0</v>
      </c>
      <c r="H14" s="627">
        <v>0</v>
      </c>
      <c r="I14" s="627">
        <f t="shared" si="3"/>
        <v>0</v>
      </c>
      <c r="J14" s="627">
        <v>0</v>
      </c>
      <c r="K14" s="627">
        <f t="shared" si="4"/>
        <v>0</v>
      </c>
      <c r="L14" s="627">
        <f t="shared" si="0"/>
        <v>0</v>
      </c>
    </row>
    <row r="15" spans="1:12" ht="12.75">
      <c r="A15" s="568">
        <v>421</v>
      </c>
      <c r="B15" s="570" t="s">
        <v>504</v>
      </c>
      <c r="C15" s="627">
        <v>14319</v>
      </c>
      <c r="D15" s="627">
        <v>14421</v>
      </c>
      <c r="E15" s="627">
        <f t="shared" si="1"/>
        <v>102</v>
      </c>
      <c r="F15" s="627">
        <v>14514</v>
      </c>
      <c r="G15" s="627">
        <f t="shared" si="2"/>
        <v>93</v>
      </c>
      <c r="H15" s="627">
        <v>14618</v>
      </c>
      <c r="I15" s="627">
        <f t="shared" si="3"/>
        <v>104</v>
      </c>
      <c r="J15" s="627">
        <v>14788</v>
      </c>
      <c r="K15" s="627">
        <f t="shared" si="4"/>
        <v>170</v>
      </c>
      <c r="L15" s="627">
        <f t="shared" si="0"/>
        <v>469</v>
      </c>
    </row>
    <row r="16" spans="1:12" ht="12.75">
      <c r="A16" s="568"/>
      <c r="B16" s="570" t="s">
        <v>445</v>
      </c>
      <c r="C16" s="627">
        <v>5</v>
      </c>
      <c r="D16" s="627">
        <v>5</v>
      </c>
      <c r="E16" s="627">
        <f t="shared" si="1"/>
        <v>0</v>
      </c>
      <c r="F16" s="627">
        <v>5</v>
      </c>
      <c r="G16" s="627">
        <f t="shared" si="2"/>
        <v>0</v>
      </c>
      <c r="H16" s="627">
        <v>6</v>
      </c>
      <c r="I16" s="627">
        <f t="shared" si="3"/>
        <v>1</v>
      </c>
      <c r="J16" s="627">
        <v>5</v>
      </c>
      <c r="K16" s="627">
        <f t="shared" si="4"/>
        <v>-1</v>
      </c>
      <c r="L16" s="627">
        <f t="shared" si="0"/>
        <v>0</v>
      </c>
    </row>
    <row r="17" spans="1:12" ht="12.75">
      <c r="A17" s="568">
        <v>423</v>
      </c>
      <c r="B17" s="574" t="s">
        <v>448</v>
      </c>
      <c r="C17" s="627">
        <v>3688</v>
      </c>
      <c r="D17" s="627">
        <v>3677</v>
      </c>
      <c r="E17" s="627">
        <f t="shared" si="1"/>
        <v>-11</v>
      </c>
      <c r="F17" s="627">
        <v>3712</v>
      </c>
      <c r="G17" s="627">
        <f t="shared" si="2"/>
        <v>35</v>
      </c>
      <c r="H17" s="627">
        <v>3725</v>
      </c>
      <c r="I17" s="627">
        <f t="shared" si="3"/>
        <v>13</v>
      </c>
      <c r="J17" s="627">
        <v>3776</v>
      </c>
      <c r="K17" s="627">
        <f t="shared" si="4"/>
        <v>51</v>
      </c>
      <c r="L17" s="627">
        <f t="shared" si="0"/>
        <v>88</v>
      </c>
    </row>
    <row r="18" spans="1:12" ht="12.75">
      <c r="A18" s="568"/>
      <c r="B18" s="570" t="s">
        <v>445</v>
      </c>
      <c r="C18" s="627">
        <v>0</v>
      </c>
      <c r="D18" s="627">
        <v>0</v>
      </c>
      <c r="E18" s="627">
        <f t="shared" si="1"/>
        <v>0</v>
      </c>
      <c r="F18" s="627">
        <v>0</v>
      </c>
      <c r="G18" s="627">
        <f t="shared" si="2"/>
        <v>0</v>
      </c>
      <c r="H18" s="627">
        <v>0</v>
      </c>
      <c r="I18" s="627">
        <f t="shared" si="3"/>
        <v>0</v>
      </c>
      <c r="J18" s="627">
        <v>0</v>
      </c>
      <c r="K18" s="627">
        <f t="shared" si="4"/>
        <v>0</v>
      </c>
      <c r="L18" s="627">
        <f t="shared" si="0"/>
        <v>0</v>
      </c>
    </row>
    <row r="19" spans="1:12" ht="12.75">
      <c r="A19" s="568">
        <v>435</v>
      </c>
      <c r="B19" s="570" t="s">
        <v>449</v>
      </c>
      <c r="C19" s="627">
        <v>1399</v>
      </c>
      <c r="D19" s="627">
        <v>1391</v>
      </c>
      <c r="E19" s="627">
        <f t="shared" si="1"/>
        <v>-8</v>
      </c>
      <c r="F19" s="627">
        <v>1385</v>
      </c>
      <c r="G19" s="627">
        <f t="shared" si="2"/>
        <v>-6</v>
      </c>
      <c r="H19" s="627">
        <v>1371</v>
      </c>
      <c r="I19" s="627">
        <f t="shared" si="3"/>
        <v>-14</v>
      </c>
      <c r="J19" s="627">
        <v>1360</v>
      </c>
      <c r="K19" s="627">
        <f t="shared" si="4"/>
        <v>-11</v>
      </c>
      <c r="L19" s="627">
        <f t="shared" si="0"/>
        <v>-39</v>
      </c>
    </row>
    <row r="20" spans="1:12" ht="12.75">
      <c r="A20" s="568"/>
      <c r="B20" s="570" t="s">
        <v>445</v>
      </c>
      <c r="C20" s="627">
        <v>0</v>
      </c>
      <c r="D20" s="627">
        <v>0</v>
      </c>
      <c r="E20" s="627">
        <f t="shared" si="1"/>
        <v>0</v>
      </c>
      <c r="F20" s="627">
        <v>0</v>
      </c>
      <c r="G20" s="627">
        <f t="shared" si="2"/>
        <v>0</v>
      </c>
      <c r="H20" s="627">
        <v>0</v>
      </c>
      <c r="I20" s="627">
        <f t="shared" si="3"/>
        <v>0</v>
      </c>
      <c r="J20" s="627">
        <v>0</v>
      </c>
      <c r="K20" s="627">
        <f t="shared" si="4"/>
        <v>0</v>
      </c>
      <c r="L20" s="627">
        <f t="shared" si="0"/>
        <v>0</v>
      </c>
    </row>
    <row r="21" spans="1:12" ht="12.75">
      <c r="A21" s="568">
        <v>439</v>
      </c>
      <c r="B21" s="574" t="s">
        <v>450</v>
      </c>
      <c r="C21" s="627">
        <v>5306</v>
      </c>
      <c r="D21" s="627">
        <v>5282</v>
      </c>
      <c r="E21" s="627">
        <f t="shared" si="1"/>
        <v>-24</v>
      </c>
      <c r="F21" s="627">
        <v>5238</v>
      </c>
      <c r="G21" s="627">
        <f t="shared" si="2"/>
        <v>-44</v>
      </c>
      <c r="H21" s="627">
        <v>5345</v>
      </c>
      <c r="I21" s="627">
        <f t="shared" si="3"/>
        <v>107</v>
      </c>
      <c r="J21" s="627">
        <v>5425</v>
      </c>
      <c r="K21" s="627">
        <f t="shared" si="4"/>
        <v>80</v>
      </c>
      <c r="L21" s="627">
        <f t="shared" si="0"/>
        <v>119</v>
      </c>
    </row>
    <row r="22" spans="1:12" ht="12.75">
      <c r="A22" s="568"/>
      <c r="B22" s="570" t="s">
        <v>445</v>
      </c>
      <c r="C22" s="627">
        <v>0</v>
      </c>
      <c r="D22" s="627">
        <v>0</v>
      </c>
      <c r="E22" s="627">
        <f t="shared" si="1"/>
        <v>0</v>
      </c>
      <c r="F22" s="627">
        <v>0</v>
      </c>
      <c r="G22" s="627">
        <f t="shared" si="2"/>
        <v>0</v>
      </c>
      <c r="H22" s="627">
        <v>0</v>
      </c>
      <c r="I22" s="627">
        <f t="shared" si="3"/>
        <v>0</v>
      </c>
      <c r="J22" s="627">
        <v>0</v>
      </c>
      <c r="K22" s="627">
        <f t="shared" si="4"/>
        <v>0</v>
      </c>
      <c r="L22" s="627">
        <f t="shared" si="0"/>
        <v>0</v>
      </c>
    </row>
    <row r="23" spans="1:12" ht="12.75">
      <c r="A23" s="568">
        <v>453</v>
      </c>
      <c r="B23" s="570" t="s">
        <v>451</v>
      </c>
      <c r="C23" s="627">
        <v>1889</v>
      </c>
      <c r="D23" s="627">
        <v>1882</v>
      </c>
      <c r="E23" s="627">
        <f t="shared" si="1"/>
        <v>-7</v>
      </c>
      <c r="F23" s="627">
        <v>1882</v>
      </c>
      <c r="G23" s="627">
        <f t="shared" si="2"/>
        <v>0</v>
      </c>
      <c r="H23" s="627">
        <v>1903</v>
      </c>
      <c r="I23" s="627">
        <f t="shared" si="3"/>
        <v>21</v>
      </c>
      <c r="J23" s="627">
        <v>1933</v>
      </c>
      <c r="K23" s="627">
        <f t="shared" si="4"/>
        <v>30</v>
      </c>
      <c r="L23" s="627">
        <f t="shared" si="0"/>
        <v>44</v>
      </c>
    </row>
    <row r="24" spans="1:12" ht="12.75">
      <c r="A24" s="568"/>
      <c r="B24" s="570" t="s">
        <v>445</v>
      </c>
      <c r="C24" s="627">
        <v>0</v>
      </c>
      <c r="D24" s="627">
        <v>0</v>
      </c>
      <c r="E24" s="627">
        <f t="shared" si="1"/>
        <v>0</v>
      </c>
      <c r="F24" s="627">
        <v>0</v>
      </c>
      <c r="G24" s="627">
        <f t="shared" si="2"/>
        <v>0</v>
      </c>
      <c r="H24" s="627">
        <v>0</v>
      </c>
      <c r="I24" s="627">
        <f t="shared" si="3"/>
        <v>0</v>
      </c>
      <c r="J24" s="627">
        <v>0</v>
      </c>
      <c r="K24" s="627">
        <f t="shared" si="4"/>
        <v>0</v>
      </c>
      <c r="L24" s="627">
        <f t="shared" si="0"/>
        <v>0</v>
      </c>
    </row>
    <row r="25" spans="1:12" ht="12.75">
      <c r="A25" s="568"/>
      <c r="B25" s="570"/>
      <c r="C25" s="575"/>
      <c r="D25" s="575"/>
      <c r="E25" s="575"/>
      <c r="F25" s="575"/>
      <c r="G25" s="575"/>
      <c r="H25" s="575"/>
      <c r="I25" s="575"/>
      <c r="J25" s="575"/>
      <c r="K25" s="575"/>
      <c r="L25" s="575"/>
    </row>
    <row r="26" spans="1:12" ht="12.75">
      <c r="A26" s="576" t="s">
        <v>351</v>
      </c>
      <c r="B26" s="577"/>
      <c r="C26" s="578">
        <v>-4919</v>
      </c>
      <c r="D26" s="578">
        <v>-4937</v>
      </c>
      <c r="E26" s="578">
        <f t="shared" si="1"/>
        <v>-18</v>
      </c>
      <c r="F26" s="578">
        <v>-5112</v>
      </c>
      <c r="G26" s="578">
        <f t="shared" si="2"/>
        <v>-175</v>
      </c>
      <c r="H26" s="578">
        <v>-5198</v>
      </c>
      <c r="I26" s="578">
        <f t="shared" si="3"/>
        <v>-86</v>
      </c>
      <c r="J26" s="578">
        <v>-5135</v>
      </c>
      <c r="K26" s="578">
        <f t="shared" si="4"/>
        <v>63</v>
      </c>
      <c r="L26" s="578">
        <f>+J26-C26</f>
        <v>-216</v>
      </c>
    </row>
    <row r="27" spans="1:12" ht="17.25" customHeight="1">
      <c r="A27" s="568" t="s">
        <v>352</v>
      </c>
      <c r="B27" s="570"/>
      <c r="C27" s="575">
        <f>C9+C11+C13+C15+C17+C19+C21+C26+C23</f>
        <v>114440</v>
      </c>
      <c r="D27" s="575">
        <f aca="true" t="shared" si="5" ref="D27:L27">D9+D11+D13+D15+D17+D19+D21+D26+D23</f>
        <v>114747</v>
      </c>
      <c r="E27" s="575">
        <f t="shared" si="5"/>
        <v>307</v>
      </c>
      <c r="F27" s="575">
        <f t="shared" si="5"/>
        <v>115096.4</v>
      </c>
      <c r="G27" s="575">
        <f t="shared" si="5"/>
        <v>349.3999999999942</v>
      </c>
      <c r="H27" s="575">
        <f t="shared" si="5"/>
        <v>115687</v>
      </c>
      <c r="I27" s="575">
        <f t="shared" si="5"/>
        <v>590.6000000000058</v>
      </c>
      <c r="J27" s="575">
        <f t="shared" si="5"/>
        <v>116163</v>
      </c>
      <c r="K27" s="575">
        <f t="shared" si="5"/>
        <v>476</v>
      </c>
      <c r="L27" s="575">
        <f t="shared" si="5"/>
        <v>1723</v>
      </c>
    </row>
    <row r="28" spans="1:12" ht="18" customHeight="1">
      <c r="A28" s="571" t="s">
        <v>452</v>
      </c>
      <c r="B28" s="579"/>
      <c r="C28" s="580">
        <f>C10+C12+C14+C16+C18+C20+C22+C24</f>
        <v>4495</v>
      </c>
      <c r="D28" s="580">
        <f aca="true" t="shared" si="6" ref="D28:L28">D10+D12+D14+D16+D18+D20+D22+D24</f>
        <v>4500</v>
      </c>
      <c r="E28" s="580">
        <f t="shared" si="6"/>
        <v>5</v>
      </c>
      <c r="F28" s="580">
        <f t="shared" si="6"/>
        <v>4499</v>
      </c>
      <c r="G28" s="580">
        <f t="shared" si="6"/>
        <v>-1</v>
      </c>
      <c r="H28" s="580">
        <f t="shared" si="6"/>
        <v>4484</v>
      </c>
      <c r="I28" s="580">
        <f t="shared" si="6"/>
        <v>-15</v>
      </c>
      <c r="J28" s="580">
        <f t="shared" si="6"/>
        <v>4468</v>
      </c>
      <c r="K28" s="580">
        <f t="shared" si="6"/>
        <v>-16</v>
      </c>
      <c r="L28" s="580">
        <f t="shared" si="6"/>
        <v>-27</v>
      </c>
    </row>
    <row r="29" spans="1:12" s="546" customFormat="1" ht="12.75">
      <c r="A29" s="581" t="s">
        <v>354</v>
      </c>
      <c r="B29" s="582"/>
      <c r="C29" s="583">
        <f>C27+C28</f>
        <v>118935</v>
      </c>
      <c r="D29" s="583">
        <f aca="true" t="shared" si="7" ref="D29:L29">D27+D28</f>
        <v>119247</v>
      </c>
      <c r="E29" s="583">
        <f t="shared" si="7"/>
        <v>312</v>
      </c>
      <c r="F29" s="583">
        <f t="shared" si="7"/>
        <v>119595.4</v>
      </c>
      <c r="G29" s="583">
        <f t="shared" si="7"/>
        <v>348.3999999999942</v>
      </c>
      <c r="H29" s="583">
        <f t="shared" si="7"/>
        <v>120171</v>
      </c>
      <c r="I29" s="583">
        <f t="shared" si="7"/>
        <v>575.6000000000058</v>
      </c>
      <c r="J29" s="583">
        <f t="shared" si="7"/>
        <v>120631</v>
      </c>
      <c r="K29" s="583">
        <f t="shared" si="7"/>
        <v>460</v>
      </c>
      <c r="L29" s="583">
        <f t="shared" si="7"/>
        <v>1696</v>
      </c>
    </row>
    <row r="30" spans="1:12" s="546" customFormat="1" ht="12.75">
      <c r="A30" s="584"/>
      <c r="B30" s="585"/>
      <c r="C30" s="586"/>
      <c r="D30" s="586"/>
      <c r="E30" s="586"/>
      <c r="F30" s="586"/>
      <c r="G30" s="586"/>
      <c r="H30" s="586"/>
      <c r="I30" s="586"/>
      <c r="J30" s="586"/>
      <c r="K30" s="586"/>
      <c r="L30" s="586"/>
    </row>
    <row r="31" spans="1:12" ht="12.75">
      <c r="A31" s="568">
        <v>481</v>
      </c>
      <c r="B31" s="570" t="s">
        <v>355</v>
      </c>
      <c r="C31" s="575">
        <v>11151</v>
      </c>
      <c r="D31" s="575">
        <v>11162</v>
      </c>
      <c r="E31" s="575">
        <f>+D31-C31</f>
        <v>11</v>
      </c>
      <c r="F31" s="575">
        <v>11041</v>
      </c>
      <c r="G31" s="575">
        <f>+F31-D31</f>
        <v>-121</v>
      </c>
      <c r="H31" s="575">
        <v>11069</v>
      </c>
      <c r="I31" s="575">
        <f>+H31-F31</f>
        <v>28</v>
      </c>
      <c r="J31" s="575">
        <v>11312</v>
      </c>
      <c r="K31" s="575">
        <f>+J31-H31</f>
        <v>243</v>
      </c>
      <c r="L31" s="575">
        <f>+J31-C31</f>
        <v>161</v>
      </c>
    </row>
    <row r="32" spans="1:12" ht="15.75" customHeight="1">
      <c r="A32" s="576" t="s">
        <v>356</v>
      </c>
      <c r="B32" s="577"/>
      <c r="C32" s="578">
        <f>-C26</f>
        <v>4919</v>
      </c>
      <c r="D32" s="578">
        <f aca="true" t="shared" si="8" ref="D32:L32">-D26</f>
        <v>4937</v>
      </c>
      <c r="E32" s="578">
        <f t="shared" si="8"/>
        <v>18</v>
      </c>
      <c r="F32" s="578">
        <f t="shared" si="8"/>
        <v>5112</v>
      </c>
      <c r="G32" s="578">
        <f t="shared" si="8"/>
        <v>175</v>
      </c>
      <c r="H32" s="578">
        <f t="shared" si="8"/>
        <v>5198</v>
      </c>
      <c r="I32" s="578">
        <f t="shared" si="8"/>
        <v>86</v>
      </c>
      <c r="J32" s="578">
        <f t="shared" si="8"/>
        <v>5135</v>
      </c>
      <c r="K32" s="578">
        <f t="shared" si="8"/>
        <v>-63</v>
      </c>
      <c r="L32" s="578">
        <f t="shared" si="8"/>
        <v>216</v>
      </c>
    </row>
    <row r="33" spans="1:12" s="546" customFormat="1" ht="18.75" customHeight="1" thickBot="1">
      <c r="A33" s="584" t="s">
        <v>353</v>
      </c>
      <c r="B33" s="585"/>
      <c r="C33" s="586">
        <f aca="true" t="shared" si="9" ref="C33:L33">C31+C32</f>
        <v>16070</v>
      </c>
      <c r="D33" s="586">
        <f t="shared" si="9"/>
        <v>16099</v>
      </c>
      <c r="E33" s="586">
        <f t="shared" si="9"/>
        <v>29</v>
      </c>
      <c r="F33" s="586">
        <f t="shared" si="9"/>
        <v>16153</v>
      </c>
      <c r="G33" s="586">
        <f t="shared" si="9"/>
        <v>54</v>
      </c>
      <c r="H33" s="586">
        <f t="shared" si="9"/>
        <v>16267</v>
      </c>
      <c r="I33" s="586">
        <f t="shared" si="9"/>
        <v>114</v>
      </c>
      <c r="J33" s="586">
        <f t="shared" si="9"/>
        <v>16447</v>
      </c>
      <c r="K33" s="586">
        <f t="shared" si="9"/>
        <v>180</v>
      </c>
      <c r="L33" s="586">
        <f t="shared" si="9"/>
        <v>377</v>
      </c>
    </row>
    <row r="34" spans="1:12" s="546" customFormat="1" ht="19.5" customHeight="1" thickBot="1" thickTop="1">
      <c r="A34" s="587" t="s">
        <v>252</v>
      </c>
      <c r="B34" s="588"/>
      <c r="C34" s="589">
        <f>C29+C33</f>
        <v>135005</v>
      </c>
      <c r="D34" s="589">
        <f aca="true" t="shared" si="10" ref="D34:L34">D29+D33</f>
        <v>135346</v>
      </c>
      <c r="E34" s="589">
        <f t="shared" si="10"/>
        <v>341</v>
      </c>
      <c r="F34" s="589">
        <f t="shared" si="10"/>
        <v>135748.4</v>
      </c>
      <c r="G34" s="589">
        <f t="shared" si="10"/>
        <v>402.3999999999942</v>
      </c>
      <c r="H34" s="589">
        <f t="shared" si="10"/>
        <v>136438</v>
      </c>
      <c r="I34" s="589">
        <f t="shared" si="10"/>
        <v>689.6000000000058</v>
      </c>
      <c r="J34" s="589">
        <f t="shared" si="10"/>
        <v>137078</v>
      </c>
      <c r="K34" s="589">
        <f t="shared" si="10"/>
        <v>640</v>
      </c>
      <c r="L34" s="589">
        <f t="shared" si="10"/>
        <v>2073</v>
      </c>
    </row>
    <row r="35" spans="1:10" ht="13.5" thickTop="1">
      <c r="A35" s="568"/>
      <c r="B35" s="570"/>
      <c r="C35" s="575"/>
      <c r="D35" s="575"/>
      <c r="E35" s="575"/>
      <c r="F35" s="575"/>
      <c r="G35" s="575"/>
      <c r="H35" s="575"/>
      <c r="I35" s="575"/>
      <c r="J35" s="575"/>
    </row>
    <row r="36" spans="2:10" ht="12.75">
      <c r="B36" s="539" t="s">
        <v>453</v>
      </c>
      <c r="C36" s="543"/>
      <c r="D36" s="542"/>
      <c r="E36" s="542"/>
      <c r="F36" s="542"/>
      <c r="G36" s="542"/>
      <c r="H36" s="544"/>
      <c r="I36" s="590"/>
      <c r="J36" s="590"/>
    </row>
    <row r="37" spans="2:10" ht="12.75">
      <c r="B37" s="545"/>
      <c r="C37" s="542"/>
      <c r="D37" s="542"/>
      <c r="E37" s="542"/>
      <c r="F37" s="542"/>
      <c r="G37" s="542"/>
      <c r="H37" s="544"/>
      <c r="I37" s="591"/>
      <c r="J37" s="591"/>
    </row>
    <row r="38" spans="2:10" ht="12.75">
      <c r="B38" s="538" t="s">
        <v>368</v>
      </c>
      <c r="C38" s="542"/>
      <c r="D38" s="542"/>
      <c r="E38" s="542"/>
      <c r="F38" s="542"/>
      <c r="G38" s="542"/>
      <c r="H38" s="544"/>
      <c r="I38" s="591"/>
      <c r="J38" s="591"/>
    </row>
    <row r="39" spans="2:10" ht="12.75">
      <c r="B39" s="591" t="s">
        <v>454</v>
      </c>
      <c r="C39" s="542"/>
      <c r="D39" s="542"/>
      <c r="E39" s="542"/>
      <c r="F39" s="542"/>
      <c r="G39" s="542"/>
      <c r="H39" s="544"/>
      <c r="I39" s="563"/>
      <c r="J39" s="563"/>
    </row>
    <row r="40" spans="2:10" ht="12.75">
      <c r="B40" s="591" t="s">
        <v>455</v>
      </c>
      <c r="C40" s="542"/>
      <c r="D40" s="542"/>
      <c r="E40" s="542"/>
      <c r="F40" s="542"/>
      <c r="G40" s="542"/>
      <c r="H40" s="544"/>
      <c r="I40" s="563"/>
      <c r="J40" s="563"/>
    </row>
  </sheetData>
  <sheetProtection/>
  <mergeCells count="2">
    <mergeCell ref="A2:L2"/>
    <mergeCell ref="A1:L1"/>
  </mergeCells>
  <printOptions horizontalCentered="1"/>
  <pageMargins left="0" right="0" top="0.5" bottom="0.5" header="0" footer="0.25"/>
  <pageSetup horizontalDpi="600" verticalDpi="600" orientation="landscape" scale="80" r:id="rId1"/>
  <headerFooter alignWithMargins="0">
    <oddFooter>&amp;C&amp;12- 19 -</oddFooter>
  </headerFooter>
  <ignoredErrors>
    <ignoredError sqref="A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3" ySplit="7" topLeftCell="D8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5.140625" style="0" customWidth="1"/>
    <col min="3" max="3" width="44.28125" style="0" customWidth="1"/>
    <col min="4" max="13" width="10.7109375" style="0" customWidth="1"/>
    <col min="14" max="14" width="6.421875" style="0" customWidth="1"/>
  </cols>
  <sheetData>
    <row r="1" spans="1:14" ht="23.25">
      <c r="A1" s="958" t="s">
        <v>85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</row>
    <row r="2" spans="1:14" ht="20.25">
      <c r="A2" s="959" t="s">
        <v>645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</row>
    <row r="3" spans="1:14" ht="12.75">
      <c r="A3" s="571"/>
      <c r="B3" s="571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657"/>
    </row>
    <row r="4" spans="1:14" ht="12.75">
      <c r="A4" s="759"/>
      <c r="B4" s="566"/>
      <c r="C4" s="760"/>
      <c r="D4" s="760"/>
      <c r="E4" s="760"/>
      <c r="F4" s="760"/>
      <c r="G4" s="760"/>
      <c r="H4" s="567"/>
      <c r="I4" s="760"/>
      <c r="J4" s="567"/>
      <c r="K4" s="567"/>
      <c r="L4" s="567"/>
      <c r="M4" s="567"/>
      <c r="N4" s="658"/>
    </row>
    <row r="5" spans="1:14" ht="12.75">
      <c r="A5" s="761"/>
      <c r="B5" s="568"/>
      <c r="C5" s="570"/>
      <c r="D5" s="569" t="s">
        <v>440</v>
      </c>
      <c r="E5" s="569" t="s">
        <v>440</v>
      </c>
      <c r="F5" s="645"/>
      <c r="G5" s="569" t="s">
        <v>440</v>
      </c>
      <c r="H5" s="645"/>
      <c r="I5" s="569" t="s">
        <v>440</v>
      </c>
      <c r="J5" s="569"/>
      <c r="K5" s="569" t="s">
        <v>440</v>
      </c>
      <c r="L5" s="569"/>
      <c r="M5" s="569"/>
      <c r="N5" s="659"/>
    </row>
    <row r="6" spans="1:14" ht="12.75">
      <c r="A6" s="761"/>
      <c r="B6" s="569"/>
      <c r="C6" s="570"/>
      <c r="D6" s="569" t="s">
        <v>184</v>
      </c>
      <c r="E6" s="569" t="s">
        <v>184</v>
      </c>
      <c r="F6" s="569" t="s">
        <v>529</v>
      </c>
      <c r="G6" s="595" t="s">
        <v>184</v>
      </c>
      <c r="H6" s="569" t="s">
        <v>530</v>
      </c>
      <c r="I6" s="569" t="s">
        <v>184</v>
      </c>
      <c r="J6" s="569" t="s">
        <v>646</v>
      </c>
      <c r="K6" s="569" t="s">
        <v>184</v>
      </c>
      <c r="L6" s="569" t="s">
        <v>638</v>
      </c>
      <c r="M6" s="569" t="s">
        <v>531</v>
      </c>
      <c r="N6" s="629" t="s">
        <v>372</v>
      </c>
    </row>
    <row r="7" spans="1:14" ht="12.75">
      <c r="A7" s="762" t="s">
        <v>371</v>
      </c>
      <c r="B7" s="571" t="s">
        <v>372</v>
      </c>
      <c r="C7" s="579"/>
      <c r="D7" s="572" t="s">
        <v>639</v>
      </c>
      <c r="E7" s="572" t="s">
        <v>647</v>
      </c>
      <c r="F7" s="572" t="s">
        <v>442</v>
      </c>
      <c r="G7" s="573" t="s">
        <v>641</v>
      </c>
      <c r="H7" s="572" t="s">
        <v>442</v>
      </c>
      <c r="I7" s="573" t="s">
        <v>648</v>
      </c>
      <c r="J7" s="572" t="s">
        <v>442</v>
      </c>
      <c r="K7" s="572" t="s">
        <v>643</v>
      </c>
      <c r="L7" s="572" t="s">
        <v>442</v>
      </c>
      <c r="M7" s="572" t="s">
        <v>442</v>
      </c>
      <c r="N7" s="660"/>
    </row>
    <row r="8" spans="1:14" ht="12.75">
      <c r="A8" s="763">
        <v>453</v>
      </c>
      <c r="B8" s="775">
        <v>34</v>
      </c>
      <c r="C8" s="596" t="s">
        <v>373</v>
      </c>
      <c r="D8" s="774">
        <v>4</v>
      </c>
      <c r="E8" s="774">
        <v>4</v>
      </c>
      <c r="F8" s="789">
        <f aca="true" t="shared" si="0" ref="F8:F42">+E8-D8</f>
        <v>0</v>
      </c>
      <c r="G8" s="789">
        <v>3</v>
      </c>
      <c r="H8" s="789">
        <f aca="true" t="shared" si="1" ref="H8:H42">+G8-E8</f>
        <v>-1</v>
      </c>
      <c r="I8" s="774">
        <v>3</v>
      </c>
      <c r="J8" s="774">
        <f aca="true" t="shared" si="2" ref="J8:J42">+I8-G8</f>
        <v>0</v>
      </c>
      <c r="K8" s="774">
        <v>3</v>
      </c>
      <c r="L8" s="774">
        <f aca="true" t="shared" si="3" ref="L8:L42">+K8-I8</f>
        <v>0</v>
      </c>
      <c r="M8" s="774">
        <f aca="true" t="shared" si="4" ref="M8:M42">+K8-D8</f>
        <v>-1</v>
      </c>
      <c r="N8" s="630">
        <v>34</v>
      </c>
    </row>
    <row r="9" spans="1:14" ht="12.75">
      <c r="A9" s="761"/>
      <c r="B9" s="775">
        <v>35</v>
      </c>
      <c r="C9" s="833" t="s">
        <v>400</v>
      </c>
      <c r="D9" s="774">
        <v>24</v>
      </c>
      <c r="E9" s="774">
        <v>24</v>
      </c>
      <c r="F9" s="789">
        <f t="shared" si="0"/>
        <v>0</v>
      </c>
      <c r="G9" s="789">
        <v>26</v>
      </c>
      <c r="H9" s="789">
        <f t="shared" si="1"/>
        <v>2</v>
      </c>
      <c r="I9" s="774">
        <v>24</v>
      </c>
      <c r="J9" s="774">
        <f t="shared" si="2"/>
        <v>-2</v>
      </c>
      <c r="K9" s="774">
        <v>25</v>
      </c>
      <c r="L9" s="774">
        <f t="shared" si="3"/>
        <v>1</v>
      </c>
      <c r="M9" s="774">
        <f t="shared" si="4"/>
        <v>1</v>
      </c>
      <c r="N9" s="630">
        <v>35</v>
      </c>
    </row>
    <row r="10" spans="1:14" ht="12.75">
      <c r="A10" s="761"/>
      <c r="B10" s="775">
        <v>36</v>
      </c>
      <c r="C10" s="805" t="s">
        <v>572</v>
      </c>
      <c r="D10" s="774">
        <v>10</v>
      </c>
      <c r="E10" s="774">
        <v>10</v>
      </c>
      <c r="F10" s="789">
        <f t="shared" si="0"/>
        <v>0</v>
      </c>
      <c r="G10" s="789">
        <v>11</v>
      </c>
      <c r="H10" s="789">
        <f t="shared" si="1"/>
        <v>1</v>
      </c>
      <c r="I10" s="774">
        <v>10</v>
      </c>
      <c r="J10" s="774">
        <f t="shared" si="2"/>
        <v>-1</v>
      </c>
      <c r="K10" s="774">
        <v>11</v>
      </c>
      <c r="L10" s="774">
        <f t="shared" si="3"/>
        <v>1</v>
      </c>
      <c r="M10" s="774">
        <f t="shared" si="4"/>
        <v>1</v>
      </c>
      <c r="N10" s="630">
        <v>36</v>
      </c>
    </row>
    <row r="11" spans="1:14" ht="12.75">
      <c r="A11" s="761"/>
      <c r="B11" s="775">
        <v>38</v>
      </c>
      <c r="C11" s="805" t="s">
        <v>557</v>
      </c>
      <c r="D11" s="774">
        <v>8</v>
      </c>
      <c r="E11" s="774">
        <v>8</v>
      </c>
      <c r="F11" s="789">
        <f t="shared" si="0"/>
        <v>0</v>
      </c>
      <c r="G11" s="789">
        <v>7</v>
      </c>
      <c r="H11" s="789">
        <f t="shared" si="1"/>
        <v>-1</v>
      </c>
      <c r="I11" s="774">
        <v>7</v>
      </c>
      <c r="J11" s="774">
        <f t="shared" si="2"/>
        <v>0</v>
      </c>
      <c r="K11" s="774">
        <v>10</v>
      </c>
      <c r="L11" s="774">
        <f t="shared" si="3"/>
        <v>3</v>
      </c>
      <c r="M11" s="774">
        <f t="shared" si="4"/>
        <v>2</v>
      </c>
      <c r="N11" s="630">
        <v>38</v>
      </c>
    </row>
    <row r="12" spans="1:14" ht="12.75">
      <c r="A12" s="761"/>
      <c r="B12" s="775">
        <v>39</v>
      </c>
      <c r="C12" s="833" t="s">
        <v>566</v>
      </c>
      <c r="D12" s="774">
        <v>15</v>
      </c>
      <c r="E12" s="774">
        <v>11</v>
      </c>
      <c r="F12" s="789">
        <f t="shared" si="0"/>
        <v>-4</v>
      </c>
      <c r="G12" s="789">
        <v>11</v>
      </c>
      <c r="H12" s="789">
        <f t="shared" si="1"/>
        <v>0</v>
      </c>
      <c r="I12" s="774">
        <v>13</v>
      </c>
      <c r="J12" s="774">
        <f t="shared" si="2"/>
        <v>2</v>
      </c>
      <c r="K12" s="774">
        <v>13</v>
      </c>
      <c r="L12" s="774">
        <f t="shared" si="3"/>
        <v>0</v>
      </c>
      <c r="M12" s="774">
        <f t="shared" si="4"/>
        <v>-2</v>
      </c>
      <c r="N12" s="630">
        <v>39</v>
      </c>
    </row>
    <row r="13" spans="1:14" ht="12.75">
      <c r="A13" s="761"/>
      <c r="B13" s="775">
        <v>40</v>
      </c>
      <c r="C13" s="833" t="s">
        <v>524</v>
      </c>
      <c r="D13" s="774">
        <v>89</v>
      </c>
      <c r="E13" s="774">
        <v>86</v>
      </c>
      <c r="F13" s="789">
        <f t="shared" si="0"/>
        <v>-3</v>
      </c>
      <c r="G13" s="789">
        <v>88</v>
      </c>
      <c r="H13" s="789">
        <f t="shared" si="1"/>
        <v>2</v>
      </c>
      <c r="I13" s="774">
        <v>89</v>
      </c>
      <c r="J13" s="774">
        <f t="shared" si="2"/>
        <v>1</v>
      </c>
      <c r="K13" s="774">
        <v>88</v>
      </c>
      <c r="L13" s="774">
        <f t="shared" si="3"/>
        <v>-1</v>
      </c>
      <c r="M13" s="774">
        <f t="shared" si="4"/>
        <v>-1</v>
      </c>
      <c r="N13" s="630">
        <v>40</v>
      </c>
    </row>
    <row r="14" spans="1:14" ht="12.75">
      <c r="A14" s="761"/>
      <c r="B14" s="776">
        <v>41</v>
      </c>
      <c r="C14" s="805" t="s">
        <v>570</v>
      </c>
      <c r="D14" s="774">
        <v>22</v>
      </c>
      <c r="E14" s="774">
        <v>24</v>
      </c>
      <c r="F14" s="789">
        <f t="shared" si="0"/>
        <v>2</v>
      </c>
      <c r="G14" s="789">
        <v>25</v>
      </c>
      <c r="H14" s="789">
        <f t="shared" si="1"/>
        <v>1</v>
      </c>
      <c r="I14" s="774">
        <v>25</v>
      </c>
      <c r="J14" s="774">
        <f t="shared" si="2"/>
        <v>0</v>
      </c>
      <c r="K14" s="774">
        <v>25</v>
      </c>
      <c r="L14" s="774">
        <f t="shared" si="3"/>
        <v>0</v>
      </c>
      <c r="M14" s="774">
        <f t="shared" si="4"/>
        <v>3</v>
      </c>
      <c r="N14" s="630">
        <v>41</v>
      </c>
    </row>
    <row r="15" spans="1:14" ht="12.75">
      <c r="A15" s="764"/>
      <c r="B15" s="775">
        <v>42</v>
      </c>
      <c r="C15" s="592" t="s">
        <v>374</v>
      </c>
      <c r="D15" s="774">
        <v>5</v>
      </c>
      <c r="E15" s="774">
        <v>4</v>
      </c>
      <c r="F15" s="789">
        <f t="shared" si="0"/>
        <v>-1</v>
      </c>
      <c r="G15" s="789">
        <v>4</v>
      </c>
      <c r="H15" s="789">
        <f t="shared" si="1"/>
        <v>0</v>
      </c>
      <c r="I15" s="774">
        <v>4</v>
      </c>
      <c r="J15" s="774">
        <f t="shared" si="2"/>
        <v>0</v>
      </c>
      <c r="K15" s="774">
        <v>4</v>
      </c>
      <c r="L15" s="774">
        <f t="shared" si="3"/>
        <v>0</v>
      </c>
      <c r="M15" s="774">
        <f t="shared" si="4"/>
        <v>-1</v>
      </c>
      <c r="N15" s="631">
        <v>42</v>
      </c>
    </row>
    <row r="16" spans="1:14" ht="12.75">
      <c r="A16" s="764"/>
      <c r="B16" s="775">
        <v>45</v>
      </c>
      <c r="C16" s="592" t="s">
        <v>559</v>
      </c>
      <c r="D16" s="774">
        <v>12</v>
      </c>
      <c r="E16" s="774">
        <v>12</v>
      </c>
      <c r="F16" s="789">
        <f t="shared" si="0"/>
        <v>0</v>
      </c>
      <c r="G16" s="789">
        <v>11</v>
      </c>
      <c r="H16" s="789">
        <f t="shared" si="1"/>
        <v>-1</v>
      </c>
      <c r="I16" s="774">
        <v>11</v>
      </c>
      <c r="J16" s="774">
        <f t="shared" si="2"/>
        <v>0</v>
      </c>
      <c r="K16" s="774">
        <v>11</v>
      </c>
      <c r="L16" s="774">
        <f t="shared" si="3"/>
        <v>0</v>
      </c>
      <c r="M16" s="774">
        <f t="shared" si="4"/>
        <v>-1</v>
      </c>
      <c r="N16" s="631">
        <v>45</v>
      </c>
    </row>
    <row r="17" spans="1:14" ht="12.75">
      <c r="A17" s="761"/>
      <c r="B17" s="775">
        <v>46</v>
      </c>
      <c r="C17" s="596" t="s">
        <v>375</v>
      </c>
      <c r="D17" s="774">
        <v>297</v>
      </c>
      <c r="E17" s="774">
        <v>299</v>
      </c>
      <c r="F17" s="789">
        <f t="shared" si="0"/>
        <v>2</v>
      </c>
      <c r="G17" s="789">
        <v>298</v>
      </c>
      <c r="H17" s="789">
        <f t="shared" si="1"/>
        <v>-1</v>
      </c>
      <c r="I17" s="774">
        <v>305</v>
      </c>
      <c r="J17" s="774">
        <f t="shared" si="2"/>
        <v>7</v>
      </c>
      <c r="K17" s="774">
        <v>306</v>
      </c>
      <c r="L17" s="774">
        <f t="shared" si="3"/>
        <v>1</v>
      </c>
      <c r="M17" s="774">
        <f t="shared" si="4"/>
        <v>9</v>
      </c>
      <c r="N17" s="630">
        <v>46</v>
      </c>
    </row>
    <row r="18" spans="1:14" ht="12.75">
      <c r="A18" s="761"/>
      <c r="B18" s="775">
        <v>47</v>
      </c>
      <c r="C18" s="596" t="s">
        <v>486</v>
      </c>
      <c r="D18" s="774">
        <v>16</v>
      </c>
      <c r="E18" s="774">
        <v>15</v>
      </c>
      <c r="F18" s="789">
        <f t="shared" si="0"/>
        <v>-1</v>
      </c>
      <c r="G18" s="789">
        <v>14</v>
      </c>
      <c r="H18" s="789">
        <f t="shared" si="1"/>
        <v>-1</v>
      </c>
      <c r="I18" s="774">
        <v>14</v>
      </c>
      <c r="J18" s="774">
        <f t="shared" si="2"/>
        <v>0</v>
      </c>
      <c r="K18" s="774">
        <v>14</v>
      </c>
      <c r="L18" s="774">
        <f t="shared" si="3"/>
        <v>0</v>
      </c>
      <c r="M18" s="774">
        <f t="shared" si="4"/>
        <v>-2</v>
      </c>
      <c r="N18" s="630">
        <v>47</v>
      </c>
    </row>
    <row r="19" spans="1:14" ht="12.75">
      <c r="A19" s="761"/>
      <c r="B19" s="775">
        <v>48</v>
      </c>
      <c r="C19" s="596" t="s">
        <v>563</v>
      </c>
      <c r="D19" s="774">
        <v>20</v>
      </c>
      <c r="E19" s="774">
        <v>21</v>
      </c>
      <c r="F19" s="789">
        <f t="shared" si="0"/>
        <v>1</v>
      </c>
      <c r="G19" s="789">
        <v>19</v>
      </c>
      <c r="H19" s="789">
        <f t="shared" si="1"/>
        <v>-2</v>
      </c>
      <c r="I19" s="774">
        <v>19</v>
      </c>
      <c r="J19" s="774">
        <f t="shared" si="2"/>
        <v>0</v>
      </c>
      <c r="K19" s="774">
        <v>24</v>
      </c>
      <c r="L19" s="774">
        <f t="shared" si="3"/>
        <v>5</v>
      </c>
      <c r="M19" s="774">
        <f t="shared" si="4"/>
        <v>4</v>
      </c>
      <c r="N19" s="630">
        <v>48</v>
      </c>
    </row>
    <row r="20" spans="1:14" ht="12.75">
      <c r="A20" s="761"/>
      <c r="B20" s="775">
        <v>49</v>
      </c>
      <c r="C20" s="596" t="s">
        <v>401</v>
      </c>
      <c r="D20" s="774">
        <v>273</v>
      </c>
      <c r="E20" s="774">
        <v>277</v>
      </c>
      <c r="F20" s="789">
        <f t="shared" si="0"/>
        <v>4</v>
      </c>
      <c r="G20" s="789">
        <v>274</v>
      </c>
      <c r="H20" s="789">
        <f t="shared" si="1"/>
        <v>-3</v>
      </c>
      <c r="I20" s="774">
        <v>276</v>
      </c>
      <c r="J20" s="774">
        <f t="shared" si="2"/>
        <v>2</v>
      </c>
      <c r="K20" s="774">
        <v>280</v>
      </c>
      <c r="L20" s="774">
        <f t="shared" si="3"/>
        <v>4</v>
      </c>
      <c r="M20" s="774">
        <f t="shared" si="4"/>
        <v>7</v>
      </c>
      <c r="N20" s="630">
        <v>49</v>
      </c>
    </row>
    <row r="21" spans="1:14" ht="12.75">
      <c r="A21" s="761"/>
      <c r="B21" s="775">
        <v>50</v>
      </c>
      <c r="C21" s="596" t="s">
        <v>402</v>
      </c>
      <c r="D21" s="774">
        <v>66</v>
      </c>
      <c r="E21" s="774">
        <v>65</v>
      </c>
      <c r="F21" s="789">
        <f t="shared" si="0"/>
        <v>-1</v>
      </c>
      <c r="G21" s="789">
        <v>60</v>
      </c>
      <c r="H21" s="789">
        <f t="shared" si="1"/>
        <v>-5</v>
      </c>
      <c r="I21" s="774">
        <v>61</v>
      </c>
      <c r="J21" s="774">
        <f t="shared" si="2"/>
        <v>1</v>
      </c>
      <c r="K21" s="774">
        <v>60</v>
      </c>
      <c r="L21" s="774">
        <f t="shared" si="3"/>
        <v>-1</v>
      </c>
      <c r="M21" s="774">
        <f t="shared" si="4"/>
        <v>-6</v>
      </c>
      <c r="N21" s="630">
        <v>50</v>
      </c>
    </row>
    <row r="22" spans="1:14" ht="12.75">
      <c r="A22" s="761"/>
      <c r="B22" s="775">
        <v>51</v>
      </c>
      <c r="C22" s="596" t="s">
        <v>505</v>
      </c>
      <c r="D22" s="774">
        <v>138</v>
      </c>
      <c r="E22" s="774">
        <v>143</v>
      </c>
      <c r="F22" s="789">
        <f t="shared" si="0"/>
        <v>5</v>
      </c>
      <c r="G22" s="789">
        <v>146</v>
      </c>
      <c r="H22" s="789">
        <f t="shared" si="1"/>
        <v>3</v>
      </c>
      <c r="I22" s="774">
        <v>146</v>
      </c>
      <c r="J22" s="774">
        <f t="shared" si="2"/>
        <v>0</v>
      </c>
      <c r="K22" s="774">
        <v>143</v>
      </c>
      <c r="L22" s="774">
        <f t="shared" si="3"/>
        <v>-3</v>
      </c>
      <c r="M22" s="774">
        <f t="shared" si="4"/>
        <v>5</v>
      </c>
      <c r="N22" s="630">
        <v>51</v>
      </c>
    </row>
    <row r="23" spans="1:14" ht="12.75">
      <c r="A23" s="761"/>
      <c r="B23" s="775">
        <v>52</v>
      </c>
      <c r="C23" s="596" t="s">
        <v>376</v>
      </c>
      <c r="D23" s="774">
        <v>54</v>
      </c>
      <c r="E23" s="774">
        <v>51</v>
      </c>
      <c r="F23" s="789">
        <f t="shared" si="0"/>
        <v>-3</v>
      </c>
      <c r="G23" s="789">
        <v>51</v>
      </c>
      <c r="H23" s="789">
        <f t="shared" si="1"/>
        <v>0</v>
      </c>
      <c r="I23" s="774">
        <v>50</v>
      </c>
      <c r="J23" s="774">
        <f t="shared" si="2"/>
        <v>-1</v>
      </c>
      <c r="K23" s="774">
        <v>48</v>
      </c>
      <c r="L23" s="774">
        <f t="shared" si="3"/>
        <v>-2</v>
      </c>
      <c r="M23" s="774">
        <f t="shared" si="4"/>
        <v>-6</v>
      </c>
      <c r="N23" s="630">
        <v>52</v>
      </c>
    </row>
    <row r="24" spans="1:14" ht="12.75">
      <c r="A24" s="761"/>
      <c r="B24" s="775">
        <v>53</v>
      </c>
      <c r="C24" s="596" t="s">
        <v>377</v>
      </c>
      <c r="D24" s="774">
        <v>7</v>
      </c>
      <c r="E24" s="774">
        <v>6</v>
      </c>
      <c r="F24" s="789">
        <f t="shared" si="0"/>
        <v>-1</v>
      </c>
      <c r="G24" s="789">
        <v>5</v>
      </c>
      <c r="H24" s="789">
        <f t="shared" si="1"/>
        <v>-1</v>
      </c>
      <c r="I24" s="774">
        <v>6</v>
      </c>
      <c r="J24" s="774">
        <f t="shared" si="2"/>
        <v>1</v>
      </c>
      <c r="K24" s="774">
        <v>5</v>
      </c>
      <c r="L24" s="774">
        <f t="shared" si="3"/>
        <v>-1</v>
      </c>
      <c r="M24" s="774">
        <f t="shared" si="4"/>
        <v>-2</v>
      </c>
      <c r="N24" s="630">
        <v>53</v>
      </c>
    </row>
    <row r="25" spans="1:14" ht="12.75">
      <c r="A25" s="761"/>
      <c r="B25" s="775">
        <v>54</v>
      </c>
      <c r="C25" s="596" t="s">
        <v>378</v>
      </c>
      <c r="D25" s="774">
        <v>222</v>
      </c>
      <c r="E25" s="774">
        <v>226</v>
      </c>
      <c r="F25" s="789">
        <f t="shared" si="0"/>
        <v>4</v>
      </c>
      <c r="G25" s="789">
        <v>226</v>
      </c>
      <c r="H25" s="789">
        <f t="shared" si="1"/>
        <v>0</v>
      </c>
      <c r="I25" s="774">
        <v>227</v>
      </c>
      <c r="J25" s="774">
        <f t="shared" si="2"/>
        <v>1</v>
      </c>
      <c r="K25" s="774">
        <v>231</v>
      </c>
      <c r="L25" s="774">
        <f t="shared" si="3"/>
        <v>4</v>
      </c>
      <c r="M25" s="774">
        <f t="shared" si="4"/>
        <v>9</v>
      </c>
      <c r="N25" s="630">
        <v>54</v>
      </c>
    </row>
    <row r="26" spans="1:14" ht="12.75">
      <c r="A26" s="761"/>
      <c r="B26" s="775">
        <v>56</v>
      </c>
      <c r="C26" s="596" t="s">
        <v>488</v>
      </c>
      <c r="D26" s="774">
        <v>19</v>
      </c>
      <c r="E26" s="774">
        <v>18</v>
      </c>
      <c r="F26" s="789">
        <f t="shared" si="0"/>
        <v>-1</v>
      </c>
      <c r="G26" s="789">
        <v>19</v>
      </c>
      <c r="H26" s="789">
        <f t="shared" si="1"/>
        <v>1</v>
      </c>
      <c r="I26" s="774">
        <v>18</v>
      </c>
      <c r="J26" s="774">
        <f t="shared" si="2"/>
        <v>-1</v>
      </c>
      <c r="K26" s="778">
        <v>13</v>
      </c>
      <c r="L26" s="774">
        <f t="shared" si="3"/>
        <v>-5</v>
      </c>
      <c r="M26" s="774">
        <f t="shared" si="4"/>
        <v>-6</v>
      </c>
      <c r="N26" s="630">
        <v>56</v>
      </c>
    </row>
    <row r="27" spans="1:14" ht="12.75">
      <c r="A27" s="761"/>
      <c r="B27" s="775">
        <v>58</v>
      </c>
      <c r="C27" s="596" t="s">
        <v>403</v>
      </c>
      <c r="D27" s="774">
        <v>30</v>
      </c>
      <c r="E27" s="774">
        <v>29</v>
      </c>
      <c r="F27" s="789">
        <f t="shared" si="0"/>
        <v>-1</v>
      </c>
      <c r="G27" s="789">
        <v>28</v>
      </c>
      <c r="H27" s="789">
        <f t="shared" si="1"/>
        <v>-1</v>
      </c>
      <c r="I27" s="774">
        <v>28</v>
      </c>
      <c r="J27" s="774">
        <f t="shared" si="2"/>
        <v>0</v>
      </c>
      <c r="K27" s="774">
        <v>28</v>
      </c>
      <c r="L27" s="774">
        <f t="shared" si="3"/>
        <v>0</v>
      </c>
      <c r="M27" s="774">
        <f t="shared" si="4"/>
        <v>-2</v>
      </c>
      <c r="N27" s="630">
        <v>58</v>
      </c>
    </row>
    <row r="28" spans="1:14" ht="12.75">
      <c r="A28" s="761"/>
      <c r="B28" s="775">
        <v>59</v>
      </c>
      <c r="C28" s="596" t="s">
        <v>562</v>
      </c>
      <c r="D28" s="774">
        <v>8</v>
      </c>
      <c r="E28" s="774">
        <v>8</v>
      </c>
      <c r="F28" s="789">
        <f t="shared" si="0"/>
        <v>0</v>
      </c>
      <c r="G28" s="789">
        <v>9</v>
      </c>
      <c r="H28" s="789">
        <f t="shared" si="1"/>
        <v>1</v>
      </c>
      <c r="I28" s="774">
        <v>9</v>
      </c>
      <c r="J28" s="774">
        <f t="shared" si="2"/>
        <v>0</v>
      </c>
      <c r="K28" s="774">
        <v>9</v>
      </c>
      <c r="L28" s="774">
        <f t="shared" si="3"/>
        <v>0</v>
      </c>
      <c r="M28" s="774">
        <f t="shared" si="4"/>
        <v>1</v>
      </c>
      <c r="N28" s="630">
        <v>59</v>
      </c>
    </row>
    <row r="29" spans="1:14" ht="12.75">
      <c r="A29" s="761"/>
      <c r="B29" s="775">
        <v>60</v>
      </c>
      <c r="C29" s="805" t="s">
        <v>565</v>
      </c>
      <c r="D29" s="774">
        <v>24</v>
      </c>
      <c r="E29" s="774">
        <v>22</v>
      </c>
      <c r="F29" s="789">
        <f t="shared" si="0"/>
        <v>-2</v>
      </c>
      <c r="G29" s="789">
        <v>22</v>
      </c>
      <c r="H29" s="789">
        <f t="shared" si="1"/>
        <v>0</v>
      </c>
      <c r="I29" s="774">
        <v>25</v>
      </c>
      <c r="J29" s="774">
        <f t="shared" si="2"/>
        <v>3</v>
      </c>
      <c r="K29" s="774">
        <v>25</v>
      </c>
      <c r="L29" s="774">
        <f t="shared" si="3"/>
        <v>0</v>
      </c>
      <c r="M29" s="774">
        <f t="shared" si="4"/>
        <v>1</v>
      </c>
      <c r="N29" s="630">
        <v>60</v>
      </c>
    </row>
    <row r="30" spans="1:14" ht="12.75">
      <c r="A30" s="761"/>
      <c r="B30" s="775">
        <v>61</v>
      </c>
      <c r="C30" s="596" t="s">
        <v>379</v>
      </c>
      <c r="D30" s="774">
        <v>73</v>
      </c>
      <c r="E30" s="774">
        <v>68</v>
      </c>
      <c r="F30" s="789">
        <f t="shared" si="0"/>
        <v>-5</v>
      </c>
      <c r="G30" s="789">
        <v>67</v>
      </c>
      <c r="H30" s="789">
        <f t="shared" si="1"/>
        <v>-1</v>
      </c>
      <c r="I30" s="774">
        <v>68</v>
      </c>
      <c r="J30" s="774">
        <f t="shared" si="2"/>
        <v>1</v>
      </c>
      <c r="K30" s="774">
        <v>68</v>
      </c>
      <c r="L30" s="774">
        <f t="shared" si="3"/>
        <v>0</v>
      </c>
      <c r="M30" s="774">
        <f t="shared" si="4"/>
        <v>-5</v>
      </c>
      <c r="N30" s="630">
        <v>61</v>
      </c>
    </row>
    <row r="31" spans="1:14" ht="12.75">
      <c r="A31" s="761"/>
      <c r="B31" s="775">
        <v>63</v>
      </c>
      <c r="C31" s="777" t="s">
        <v>380</v>
      </c>
      <c r="D31" s="774">
        <v>42</v>
      </c>
      <c r="E31" s="774">
        <v>45</v>
      </c>
      <c r="F31" s="789">
        <f t="shared" si="0"/>
        <v>3</v>
      </c>
      <c r="G31" s="789">
        <v>46</v>
      </c>
      <c r="H31" s="789">
        <f t="shared" si="1"/>
        <v>1</v>
      </c>
      <c r="I31" s="774">
        <v>45</v>
      </c>
      <c r="J31" s="774">
        <f t="shared" si="2"/>
        <v>-1</v>
      </c>
      <c r="K31" s="774">
        <v>45</v>
      </c>
      <c r="L31" s="774">
        <f t="shared" si="3"/>
        <v>0</v>
      </c>
      <c r="M31" s="774">
        <f t="shared" si="4"/>
        <v>3</v>
      </c>
      <c r="N31" s="630">
        <v>63</v>
      </c>
    </row>
    <row r="32" spans="1:14" ht="12.75">
      <c r="A32" s="761"/>
      <c r="B32" s="775">
        <v>64</v>
      </c>
      <c r="C32" s="596" t="s">
        <v>489</v>
      </c>
      <c r="D32" s="774">
        <v>3</v>
      </c>
      <c r="E32" s="774">
        <v>3</v>
      </c>
      <c r="F32" s="789">
        <f t="shared" si="0"/>
        <v>0</v>
      </c>
      <c r="G32" s="789">
        <v>3</v>
      </c>
      <c r="H32" s="789">
        <f t="shared" si="1"/>
        <v>0</v>
      </c>
      <c r="I32" s="774">
        <v>3</v>
      </c>
      <c r="J32" s="774">
        <f t="shared" si="2"/>
        <v>0</v>
      </c>
      <c r="K32" s="774">
        <v>4</v>
      </c>
      <c r="L32" s="774">
        <f t="shared" si="3"/>
        <v>1</v>
      </c>
      <c r="M32" s="774">
        <f t="shared" si="4"/>
        <v>1</v>
      </c>
      <c r="N32" s="630">
        <v>64</v>
      </c>
    </row>
    <row r="33" spans="1:14" ht="12.75">
      <c r="A33" s="761"/>
      <c r="B33" s="775">
        <v>65</v>
      </c>
      <c r="C33" s="596" t="s">
        <v>490</v>
      </c>
      <c r="D33" s="774">
        <v>143</v>
      </c>
      <c r="E33" s="774">
        <v>140</v>
      </c>
      <c r="F33" s="789">
        <f t="shared" si="0"/>
        <v>-3</v>
      </c>
      <c r="G33" s="789">
        <v>146</v>
      </c>
      <c r="H33" s="789">
        <f t="shared" si="1"/>
        <v>6</v>
      </c>
      <c r="I33" s="774">
        <v>149</v>
      </c>
      <c r="J33" s="774">
        <f t="shared" si="2"/>
        <v>3</v>
      </c>
      <c r="K33" s="774">
        <v>153</v>
      </c>
      <c r="L33" s="774">
        <f t="shared" si="3"/>
        <v>4</v>
      </c>
      <c r="M33" s="774">
        <f t="shared" si="4"/>
        <v>10</v>
      </c>
      <c r="N33" s="630">
        <v>65</v>
      </c>
    </row>
    <row r="34" spans="1:14" ht="12.75">
      <c r="A34" s="761"/>
      <c r="B34" s="775">
        <v>67</v>
      </c>
      <c r="C34" s="596" t="s">
        <v>483</v>
      </c>
      <c r="D34" s="774">
        <v>12</v>
      </c>
      <c r="E34" s="774">
        <v>14</v>
      </c>
      <c r="F34" s="789">
        <f t="shared" si="0"/>
        <v>2</v>
      </c>
      <c r="G34" s="789">
        <v>15</v>
      </c>
      <c r="H34" s="789">
        <f t="shared" si="1"/>
        <v>1</v>
      </c>
      <c r="I34" s="774">
        <v>15</v>
      </c>
      <c r="J34" s="774">
        <f t="shared" si="2"/>
        <v>0</v>
      </c>
      <c r="K34" s="774">
        <v>15</v>
      </c>
      <c r="L34" s="774">
        <f t="shared" si="3"/>
        <v>0</v>
      </c>
      <c r="M34" s="774">
        <f t="shared" si="4"/>
        <v>3</v>
      </c>
      <c r="N34" s="630">
        <v>67</v>
      </c>
    </row>
    <row r="35" spans="1:14" ht="12.75">
      <c r="A35" s="761"/>
      <c r="B35" s="775">
        <v>68</v>
      </c>
      <c r="C35" s="596" t="s">
        <v>404</v>
      </c>
      <c r="D35" s="774">
        <v>11</v>
      </c>
      <c r="E35" s="774">
        <v>12</v>
      </c>
      <c r="F35" s="789">
        <f t="shared" si="0"/>
        <v>1</v>
      </c>
      <c r="G35" s="789">
        <v>12</v>
      </c>
      <c r="H35" s="789">
        <f t="shared" si="1"/>
        <v>0</v>
      </c>
      <c r="I35" s="774">
        <v>13</v>
      </c>
      <c r="J35" s="774">
        <f t="shared" si="2"/>
        <v>1</v>
      </c>
      <c r="K35" s="774">
        <v>12</v>
      </c>
      <c r="L35" s="774">
        <f t="shared" si="3"/>
        <v>-1</v>
      </c>
      <c r="M35" s="774">
        <f t="shared" si="4"/>
        <v>1</v>
      </c>
      <c r="N35" s="630">
        <v>68</v>
      </c>
    </row>
    <row r="36" spans="1:14" ht="12.75">
      <c r="A36" s="761"/>
      <c r="B36" s="775">
        <v>78</v>
      </c>
      <c r="C36" s="596" t="s">
        <v>381</v>
      </c>
      <c r="D36" s="774">
        <v>76</v>
      </c>
      <c r="E36" s="774">
        <v>69</v>
      </c>
      <c r="F36" s="789">
        <f t="shared" si="0"/>
        <v>-7</v>
      </c>
      <c r="G36" s="789">
        <v>72</v>
      </c>
      <c r="H36" s="789">
        <f t="shared" si="1"/>
        <v>3</v>
      </c>
      <c r="I36" s="774">
        <v>74</v>
      </c>
      <c r="J36" s="774">
        <f t="shared" si="2"/>
        <v>2</v>
      </c>
      <c r="K36" s="774">
        <v>81</v>
      </c>
      <c r="L36" s="774">
        <f t="shared" si="3"/>
        <v>7</v>
      </c>
      <c r="M36" s="774">
        <f t="shared" si="4"/>
        <v>5</v>
      </c>
      <c r="N36" s="630">
        <v>78</v>
      </c>
    </row>
    <row r="37" spans="1:14" ht="12.75">
      <c r="A37" s="761"/>
      <c r="B37" s="775">
        <v>82</v>
      </c>
      <c r="C37" s="777" t="s">
        <v>382</v>
      </c>
      <c r="D37" s="774">
        <v>3</v>
      </c>
      <c r="E37" s="774">
        <v>3</v>
      </c>
      <c r="F37" s="789">
        <f t="shared" si="0"/>
        <v>0</v>
      </c>
      <c r="G37" s="789">
        <v>3</v>
      </c>
      <c r="H37" s="789">
        <f t="shared" si="1"/>
        <v>0</v>
      </c>
      <c r="I37" s="774">
        <v>3</v>
      </c>
      <c r="J37" s="774">
        <f t="shared" si="2"/>
        <v>0</v>
      </c>
      <c r="K37" s="774">
        <v>3</v>
      </c>
      <c r="L37" s="774">
        <f t="shared" si="3"/>
        <v>0</v>
      </c>
      <c r="M37" s="774">
        <f t="shared" si="4"/>
        <v>0</v>
      </c>
      <c r="N37" s="630">
        <v>82</v>
      </c>
    </row>
    <row r="38" spans="1:14" ht="12.75">
      <c r="A38" s="761"/>
      <c r="B38" s="775">
        <v>83</v>
      </c>
      <c r="C38" s="805" t="s">
        <v>571</v>
      </c>
      <c r="D38" s="774">
        <v>23</v>
      </c>
      <c r="E38" s="774">
        <v>20</v>
      </c>
      <c r="F38" s="789">
        <f t="shared" si="0"/>
        <v>-3</v>
      </c>
      <c r="G38" s="789">
        <v>16</v>
      </c>
      <c r="H38" s="789">
        <f t="shared" si="1"/>
        <v>-4</v>
      </c>
      <c r="I38" s="774">
        <v>17</v>
      </c>
      <c r="J38" s="774">
        <f t="shared" si="2"/>
        <v>1</v>
      </c>
      <c r="K38" s="774">
        <v>14</v>
      </c>
      <c r="L38" s="774">
        <f t="shared" si="3"/>
        <v>-3</v>
      </c>
      <c r="M38" s="774">
        <f t="shared" si="4"/>
        <v>-9</v>
      </c>
      <c r="N38" s="630">
        <v>83</v>
      </c>
    </row>
    <row r="39" spans="1:14" ht="12.75">
      <c r="A39" s="761"/>
      <c r="B39" s="775">
        <v>86</v>
      </c>
      <c r="C39" s="596" t="s">
        <v>491</v>
      </c>
      <c r="D39" s="774">
        <v>9</v>
      </c>
      <c r="E39" s="774">
        <v>15</v>
      </c>
      <c r="F39" s="789">
        <f t="shared" si="0"/>
        <v>6</v>
      </c>
      <c r="G39" s="789">
        <v>15</v>
      </c>
      <c r="H39" s="789">
        <f t="shared" si="1"/>
        <v>0</v>
      </c>
      <c r="I39" s="774">
        <v>17</v>
      </c>
      <c r="J39" s="774">
        <f t="shared" si="2"/>
        <v>2</v>
      </c>
      <c r="K39" s="774">
        <v>16</v>
      </c>
      <c r="L39" s="774">
        <f t="shared" si="3"/>
        <v>-1</v>
      </c>
      <c r="M39" s="774">
        <f t="shared" si="4"/>
        <v>7</v>
      </c>
      <c r="N39" s="630">
        <v>86</v>
      </c>
    </row>
    <row r="40" spans="1:14" ht="12.75">
      <c r="A40" s="761"/>
      <c r="B40" s="775">
        <v>93</v>
      </c>
      <c r="C40" s="596" t="s">
        <v>493</v>
      </c>
      <c r="D40" s="774">
        <v>46</v>
      </c>
      <c r="E40" s="774">
        <v>45</v>
      </c>
      <c r="F40" s="789">
        <f t="shared" si="0"/>
        <v>-1</v>
      </c>
      <c r="G40" s="789">
        <v>43</v>
      </c>
      <c r="H40" s="789">
        <f t="shared" si="1"/>
        <v>-2</v>
      </c>
      <c r="I40" s="774">
        <v>44</v>
      </c>
      <c r="J40" s="774">
        <f t="shared" si="2"/>
        <v>1</v>
      </c>
      <c r="K40" s="774">
        <v>50</v>
      </c>
      <c r="L40" s="774">
        <f t="shared" si="3"/>
        <v>6</v>
      </c>
      <c r="M40" s="774">
        <f t="shared" si="4"/>
        <v>4</v>
      </c>
      <c r="N40" s="630">
        <v>93</v>
      </c>
    </row>
    <row r="41" spans="1:14" ht="12.75">
      <c r="A41" s="761"/>
      <c r="B41" s="775">
        <v>98</v>
      </c>
      <c r="C41" s="596" t="s">
        <v>495</v>
      </c>
      <c r="D41" s="774">
        <v>74</v>
      </c>
      <c r="E41" s="774">
        <v>72</v>
      </c>
      <c r="F41" s="789">
        <f t="shared" si="0"/>
        <v>-2</v>
      </c>
      <c r="G41" s="789">
        <v>74</v>
      </c>
      <c r="H41" s="789">
        <f t="shared" si="1"/>
        <v>2</v>
      </c>
      <c r="I41" s="774">
        <v>72</v>
      </c>
      <c r="J41" s="774">
        <f t="shared" si="2"/>
        <v>-2</v>
      </c>
      <c r="K41" s="774">
        <v>83</v>
      </c>
      <c r="L41" s="774">
        <f t="shared" si="3"/>
        <v>11</v>
      </c>
      <c r="M41" s="774">
        <f t="shared" si="4"/>
        <v>9</v>
      </c>
      <c r="N41" s="630">
        <v>98</v>
      </c>
    </row>
    <row r="42" spans="1:14" ht="12.75">
      <c r="A42" s="761"/>
      <c r="B42" s="775">
        <v>99</v>
      </c>
      <c r="C42" s="596" t="s">
        <v>506</v>
      </c>
      <c r="D42" s="774">
        <v>11</v>
      </c>
      <c r="E42" s="774">
        <v>13</v>
      </c>
      <c r="F42" s="789">
        <f t="shared" si="0"/>
        <v>2</v>
      </c>
      <c r="G42" s="789">
        <v>13</v>
      </c>
      <c r="H42" s="789">
        <f t="shared" si="1"/>
        <v>0</v>
      </c>
      <c r="I42" s="774">
        <v>13</v>
      </c>
      <c r="J42" s="774">
        <f t="shared" si="2"/>
        <v>0</v>
      </c>
      <c r="K42" s="778">
        <v>13</v>
      </c>
      <c r="L42" s="774">
        <f t="shared" si="3"/>
        <v>0</v>
      </c>
      <c r="M42" s="774">
        <f t="shared" si="4"/>
        <v>2</v>
      </c>
      <c r="N42" s="630">
        <v>99</v>
      </c>
    </row>
    <row r="43" spans="1:14" ht="12.75">
      <c r="A43" s="765"/>
      <c r="B43" s="960" t="s">
        <v>456</v>
      </c>
      <c r="C43" s="960"/>
      <c r="D43" s="582">
        <f aca="true" t="shared" si="5" ref="D43:M43">SUM(D8:D42)</f>
        <v>1889</v>
      </c>
      <c r="E43" s="582">
        <f t="shared" si="5"/>
        <v>1882</v>
      </c>
      <c r="F43" s="582">
        <f t="shared" si="5"/>
        <v>-7</v>
      </c>
      <c r="G43" s="582">
        <f t="shared" si="5"/>
        <v>1882</v>
      </c>
      <c r="H43" s="582">
        <f t="shared" si="5"/>
        <v>0</v>
      </c>
      <c r="I43" s="582">
        <f t="shared" si="5"/>
        <v>1903</v>
      </c>
      <c r="J43" s="582">
        <f t="shared" si="5"/>
        <v>21</v>
      </c>
      <c r="K43" s="582">
        <f t="shared" si="5"/>
        <v>1933</v>
      </c>
      <c r="L43" s="582">
        <f t="shared" si="5"/>
        <v>30</v>
      </c>
      <c r="M43" s="582">
        <f t="shared" si="5"/>
        <v>44</v>
      </c>
      <c r="N43" s="661"/>
    </row>
    <row r="44" spans="1:14" ht="12.75">
      <c r="A44" s="592"/>
      <c r="B44" s="592"/>
      <c r="C44" s="596"/>
      <c r="D44" s="596"/>
      <c r="E44" s="596"/>
      <c r="F44" s="596"/>
      <c r="G44" s="596"/>
      <c r="H44" s="596"/>
      <c r="I44" s="596"/>
      <c r="J44" s="596"/>
      <c r="K44" s="596"/>
      <c r="L44" s="596"/>
      <c r="M44" s="596"/>
      <c r="N44" s="662"/>
    </row>
    <row r="45" spans="1:14" ht="12.75">
      <c r="A45" s="564"/>
      <c r="B45" s="539" t="s">
        <v>453</v>
      </c>
      <c r="C45" s="542"/>
      <c r="D45" s="543"/>
      <c r="E45" s="542"/>
      <c r="F45" s="542"/>
      <c r="G45" s="542"/>
      <c r="H45" s="542"/>
      <c r="I45" s="544"/>
      <c r="J45" s="655"/>
      <c r="K45" s="655"/>
      <c r="L45" s="655"/>
      <c r="M45" s="655"/>
      <c r="N45" s="663"/>
    </row>
    <row r="46" spans="1:14" ht="12.75">
      <c r="A46" s="564"/>
      <c r="B46" s="545"/>
      <c r="C46" s="542"/>
      <c r="D46" s="542"/>
      <c r="E46" s="542"/>
      <c r="F46" s="542"/>
      <c r="G46" s="542"/>
      <c r="H46" s="542"/>
      <c r="I46" s="544"/>
      <c r="J46" s="656"/>
      <c r="K46" s="656"/>
      <c r="L46" s="656"/>
      <c r="M46" s="656"/>
      <c r="N46" s="663"/>
    </row>
    <row r="47" spans="1:14" ht="12.75">
      <c r="A47" s="564"/>
      <c r="B47" s="538" t="s">
        <v>368</v>
      </c>
      <c r="C47" s="542"/>
      <c r="D47" s="542"/>
      <c r="E47" s="542"/>
      <c r="F47" s="542"/>
      <c r="G47" s="542"/>
      <c r="H47" s="542"/>
      <c r="I47" s="544"/>
      <c r="J47" s="655"/>
      <c r="K47" s="655"/>
      <c r="L47" s="655"/>
      <c r="M47" s="655"/>
      <c r="N47" s="663"/>
    </row>
    <row r="48" spans="1:14" ht="12.75">
      <c r="A48" s="564"/>
      <c r="B48" s="591" t="s">
        <v>454</v>
      </c>
      <c r="C48" s="542"/>
      <c r="D48" s="542"/>
      <c r="E48" s="542"/>
      <c r="F48" s="542"/>
      <c r="G48" s="542"/>
      <c r="H48" s="542"/>
      <c r="I48" s="544"/>
      <c r="J48" s="655"/>
      <c r="K48" s="655"/>
      <c r="L48" s="655"/>
      <c r="M48" s="655"/>
      <c r="N48" s="663"/>
    </row>
    <row r="49" spans="1:14" ht="12.75">
      <c r="A49" s="564"/>
      <c r="B49" s="591" t="s">
        <v>455</v>
      </c>
      <c r="C49" s="542"/>
      <c r="D49" s="542"/>
      <c r="E49" s="542"/>
      <c r="F49" s="542"/>
      <c r="G49" s="542"/>
      <c r="H49" s="542"/>
      <c r="I49" s="544"/>
      <c r="J49" s="655"/>
      <c r="K49" s="655"/>
      <c r="L49" s="655"/>
      <c r="M49" s="655"/>
      <c r="N49" s="663"/>
    </row>
    <row r="50" spans="1:14" ht="12.75">
      <c r="A50" s="564"/>
      <c r="B50" s="563"/>
      <c r="C50" s="563"/>
      <c r="D50" s="563"/>
      <c r="E50" s="563"/>
      <c r="F50" s="563"/>
      <c r="G50" s="563"/>
      <c r="H50" s="563"/>
      <c r="I50" s="563"/>
      <c r="J50" s="563"/>
      <c r="K50" s="536"/>
      <c r="L50" s="536"/>
      <c r="M50" s="536"/>
      <c r="N50" s="663"/>
    </row>
  </sheetData>
  <sheetProtection/>
  <mergeCells count="3">
    <mergeCell ref="A1:N1"/>
    <mergeCell ref="A2:N2"/>
    <mergeCell ref="B43:C43"/>
  </mergeCells>
  <printOptions horizontalCentered="1"/>
  <pageMargins left="0" right="0" top="0.5" bottom="0.5" header="0" footer="0.25"/>
  <pageSetup horizontalDpi="600" verticalDpi="600" orientation="landscape" scale="75" r:id="rId1"/>
  <headerFooter>
    <oddFooter>&amp;C&amp;12- 20 -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1:L288"/>
  <sheetViews>
    <sheetView zoomScalePageLayoutView="0" workbookViewId="0" topLeftCell="A1">
      <pane xSplit="2" ySplit="7" topLeftCell="C8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7.140625" style="592" customWidth="1"/>
    <col min="2" max="2" width="46.57421875" style="593" customWidth="1"/>
    <col min="3" max="3" width="12.421875" style="593" customWidth="1"/>
    <col min="4" max="5" width="9.140625" style="593" customWidth="1"/>
    <col min="6" max="6" width="10.140625" style="593" bestFit="1" customWidth="1"/>
    <col min="7" max="8" width="9.140625" style="593" customWidth="1"/>
    <col min="9" max="9" width="11.00390625" style="537" bestFit="1" customWidth="1"/>
    <col min="10" max="10" width="9.140625" style="537" customWidth="1"/>
    <col min="11" max="11" width="10.28125" style="537" customWidth="1"/>
    <col min="12" max="16384" width="9.140625" style="537" customWidth="1"/>
  </cols>
  <sheetData>
    <row r="1" spans="1:12" ht="23.25">
      <c r="A1" s="957" t="s">
        <v>85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</row>
    <row r="2" spans="1:12" ht="20.25">
      <c r="A2" s="956" t="s">
        <v>636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</row>
    <row r="3" spans="1:9" ht="18">
      <c r="A3" s="540"/>
      <c r="B3" s="540"/>
      <c r="C3" s="540"/>
      <c r="D3" s="540"/>
      <c r="E3" s="540"/>
      <c r="F3" s="540"/>
      <c r="G3" s="540"/>
      <c r="H3" s="540"/>
      <c r="I3" s="540"/>
    </row>
    <row r="4" spans="1:12" ht="12.75">
      <c r="A4" s="566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8" s="535" customFormat="1" ht="12">
      <c r="A5" s="568"/>
      <c r="B5" s="569"/>
      <c r="C5" s="961"/>
      <c r="D5" s="961"/>
      <c r="E5" s="961"/>
      <c r="F5" s="961"/>
      <c r="G5" s="961"/>
      <c r="H5" s="961"/>
    </row>
    <row r="6" spans="1:12" s="535" customFormat="1" ht="12">
      <c r="A6" s="568" t="s">
        <v>6</v>
      </c>
      <c r="B6" s="597"/>
      <c r="C6" s="569" t="s">
        <v>184</v>
      </c>
      <c r="D6" s="569" t="s">
        <v>184</v>
      </c>
      <c r="E6" s="569" t="s">
        <v>529</v>
      </c>
      <c r="F6" s="569" t="s">
        <v>184</v>
      </c>
      <c r="G6" s="645" t="s">
        <v>530</v>
      </c>
      <c r="H6" s="569" t="s">
        <v>184</v>
      </c>
      <c r="I6" s="569" t="s">
        <v>651</v>
      </c>
      <c r="J6" s="569" t="s">
        <v>184</v>
      </c>
      <c r="K6" s="569" t="s">
        <v>638</v>
      </c>
      <c r="L6" s="569" t="s">
        <v>531</v>
      </c>
    </row>
    <row r="7" spans="1:12" s="535" customFormat="1" ht="12">
      <c r="A7" s="571" t="s">
        <v>385</v>
      </c>
      <c r="B7" s="853" t="s">
        <v>386</v>
      </c>
      <c r="C7" s="572" t="s">
        <v>639</v>
      </c>
      <c r="D7" s="572" t="s">
        <v>647</v>
      </c>
      <c r="E7" s="572" t="s">
        <v>442</v>
      </c>
      <c r="F7" s="854" t="s">
        <v>641</v>
      </c>
      <c r="G7" s="572" t="s">
        <v>442</v>
      </c>
      <c r="H7" s="573" t="s">
        <v>642</v>
      </c>
      <c r="I7" s="573" t="s">
        <v>442</v>
      </c>
      <c r="J7" s="573" t="s">
        <v>643</v>
      </c>
      <c r="K7" s="573" t="s">
        <v>442</v>
      </c>
      <c r="L7" s="573" t="s">
        <v>442</v>
      </c>
    </row>
    <row r="8" spans="1:12" ht="12.75">
      <c r="A8" s="598">
        <v>8816</v>
      </c>
      <c r="B8" s="596" t="s">
        <v>457</v>
      </c>
      <c r="C8" s="794">
        <f>31</f>
        <v>31</v>
      </c>
      <c r="D8" s="778">
        <f>31</f>
        <v>31</v>
      </c>
      <c r="E8" s="789">
        <f>+D8-C8</f>
        <v>0</v>
      </c>
      <c r="F8" s="794">
        <v>33</v>
      </c>
      <c r="G8" s="789">
        <f>+F8-D8</f>
        <v>2</v>
      </c>
      <c r="H8" s="794">
        <v>34</v>
      </c>
      <c r="I8" s="774">
        <f>+H8-F8</f>
        <v>1</v>
      </c>
      <c r="J8" s="794">
        <v>31</v>
      </c>
      <c r="K8" s="774">
        <f>+J8-H8</f>
        <v>-3</v>
      </c>
      <c r="L8" s="774">
        <f>+J8-C8</f>
        <v>0</v>
      </c>
    </row>
    <row r="9" spans="1:12" ht="12.75">
      <c r="A9" s="598">
        <v>8817</v>
      </c>
      <c r="B9" s="596" t="s">
        <v>399</v>
      </c>
      <c r="C9" s="794">
        <f>2027</f>
        <v>2027</v>
      </c>
      <c r="D9" s="778">
        <f>2079</f>
        <v>2079</v>
      </c>
      <c r="E9" s="789">
        <f aca="true" t="shared" si="0" ref="E9:E18">+D9-C9</f>
        <v>52</v>
      </c>
      <c r="F9" s="794">
        <v>2131</v>
      </c>
      <c r="G9" s="789">
        <f aca="true" t="shared" si="1" ref="G9:G18">+F9-D9</f>
        <v>52</v>
      </c>
      <c r="H9" s="794">
        <v>2157</v>
      </c>
      <c r="I9" s="774">
        <f aca="true" t="shared" si="2" ref="I9:I18">+H9-F9</f>
        <v>26</v>
      </c>
      <c r="J9" s="794">
        <v>2183</v>
      </c>
      <c r="K9" s="774">
        <f aca="true" t="shared" si="3" ref="K9:K18">+J9-H9</f>
        <v>26</v>
      </c>
      <c r="L9" s="774">
        <f aca="true" t="shared" si="4" ref="L9:L18">+J9-C9</f>
        <v>156</v>
      </c>
    </row>
    <row r="10" spans="1:12" ht="12.75">
      <c r="A10" s="599">
        <v>8843</v>
      </c>
      <c r="B10" s="596" t="s">
        <v>458</v>
      </c>
      <c r="C10" s="794">
        <f>5172</f>
        <v>5172</v>
      </c>
      <c r="D10" s="778">
        <f>5130</f>
        <v>5130</v>
      </c>
      <c r="E10" s="789">
        <f t="shared" si="0"/>
        <v>-42</v>
      </c>
      <c r="F10" s="794">
        <v>4923</v>
      </c>
      <c r="G10" s="789">
        <f t="shared" si="1"/>
        <v>-207</v>
      </c>
      <c r="H10" s="794">
        <v>4893</v>
      </c>
      <c r="I10" s="774">
        <f t="shared" si="2"/>
        <v>-30</v>
      </c>
      <c r="J10" s="794">
        <v>4946</v>
      </c>
      <c r="K10" s="774">
        <f t="shared" si="3"/>
        <v>53</v>
      </c>
      <c r="L10" s="774">
        <f t="shared" si="4"/>
        <v>-226</v>
      </c>
    </row>
    <row r="11" spans="1:12" ht="12.75">
      <c r="A11" s="598">
        <v>8848</v>
      </c>
      <c r="B11" s="596" t="s">
        <v>459</v>
      </c>
      <c r="C11" s="794">
        <f>3267</f>
        <v>3267</v>
      </c>
      <c r="D11" s="778">
        <f>3262</f>
        <v>3262</v>
      </c>
      <c r="E11" s="789">
        <f t="shared" si="0"/>
        <v>-5</v>
      </c>
      <c r="F11" s="794">
        <v>3274</v>
      </c>
      <c r="G11" s="789">
        <f t="shared" si="1"/>
        <v>12</v>
      </c>
      <c r="H11" s="794">
        <v>3289</v>
      </c>
      <c r="I11" s="774">
        <f t="shared" si="2"/>
        <v>15</v>
      </c>
      <c r="J11" s="794">
        <v>3316</v>
      </c>
      <c r="K11" s="774">
        <f t="shared" si="3"/>
        <v>27</v>
      </c>
      <c r="L11" s="774">
        <f t="shared" si="4"/>
        <v>49</v>
      </c>
    </row>
    <row r="12" spans="1:12" ht="12.75">
      <c r="A12" s="598">
        <v>8870</v>
      </c>
      <c r="B12" s="596" t="s">
        <v>460</v>
      </c>
      <c r="C12" s="794">
        <f>314</f>
        <v>314</v>
      </c>
      <c r="D12" s="778">
        <f>319</f>
        <v>319</v>
      </c>
      <c r="E12" s="789">
        <f t="shared" si="0"/>
        <v>5</v>
      </c>
      <c r="F12" s="794">
        <v>313</v>
      </c>
      <c r="G12" s="789">
        <f t="shared" si="1"/>
        <v>-6</v>
      </c>
      <c r="H12" s="794">
        <v>314</v>
      </c>
      <c r="I12" s="774">
        <f t="shared" si="2"/>
        <v>1</v>
      </c>
      <c r="J12" s="794">
        <v>314</v>
      </c>
      <c r="K12" s="774">
        <f t="shared" si="3"/>
        <v>0</v>
      </c>
      <c r="L12" s="774">
        <f t="shared" si="4"/>
        <v>0</v>
      </c>
    </row>
    <row r="13" spans="1:12" ht="12.75">
      <c r="A13" s="598">
        <v>8888</v>
      </c>
      <c r="B13" s="596" t="s">
        <v>395</v>
      </c>
      <c r="C13" s="794">
        <f>257</f>
        <v>257</v>
      </c>
      <c r="D13" s="778">
        <f>264</f>
        <v>264</v>
      </c>
      <c r="E13" s="789">
        <f t="shared" si="0"/>
        <v>7</v>
      </c>
      <c r="F13" s="794">
        <v>295</v>
      </c>
      <c r="G13" s="789">
        <f t="shared" si="1"/>
        <v>31</v>
      </c>
      <c r="H13" s="794">
        <v>310</v>
      </c>
      <c r="I13" s="774">
        <f t="shared" si="2"/>
        <v>15</v>
      </c>
      <c r="J13" s="794">
        <v>390</v>
      </c>
      <c r="K13" s="774">
        <f t="shared" si="3"/>
        <v>80</v>
      </c>
      <c r="L13" s="774">
        <f t="shared" si="4"/>
        <v>133</v>
      </c>
    </row>
    <row r="14" spans="1:12" ht="12.75">
      <c r="A14" s="598" t="s">
        <v>507</v>
      </c>
      <c r="B14" s="596" t="s">
        <v>635</v>
      </c>
      <c r="C14" s="794">
        <v>0</v>
      </c>
      <c r="D14" s="778">
        <f>1</f>
        <v>1</v>
      </c>
      <c r="E14" s="789">
        <f t="shared" si="0"/>
        <v>1</v>
      </c>
      <c r="F14" s="778">
        <v>1</v>
      </c>
      <c r="G14" s="789">
        <f t="shared" si="1"/>
        <v>0</v>
      </c>
      <c r="H14" s="778">
        <v>1</v>
      </c>
      <c r="I14" s="774">
        <v>0</v>
      </c>
      <c r="J14" s="832">
        <v>1</v>
      </c>
      <c r="K14" s="774">
        <v>0</v>
      </c>
      <c r="L14" s="774">
        <f t="shared" si="4"/>
        <v>1</v>
      </c>
    </row>
    <row r="15" spans="1:12" ht="12.75">
      <c r="A15" s="598" t="s">
        <v>649</v>
      </c>
      <c r="B15" s="596" t="s">
        <v>650</v>
      </c>
      <c r="C15" s="778">
        <f>1</f>
        <v>1</v>
      </c>
      <c r="D15" s="778">
        <v>0</v>
      </c>
      <c r="E15" s="789">
        <f t="shared" si="0"/>
        <v>-1</v>
      </c>
      <c r="F15" s="778">
        <v>0</v>
      </c>
      <c r="G15" s="789">
        <f t="shared" si="1"/>
        <v>0</v>
      </c>
      <c r="H15" s="778">
        <v>0</v>
      </c>
      <c r="I15" s="774">
        <f t="shared" si="2"/>
        <v>0</v>
      </c>
      <c r="J15" s="794">
        <v>0</v>
      </c>
      <c r="K15" s="774">
        <f t="shared" si="3"/>
        <v>0</v>
      </c>
      <c r="L15" s="774">
        <f t="shared" si="4"/>
        <v>-1</v>
      </c>
    </row>
    <row r="16" spans="1:12" ht="12.75">
      <c r="A16" s="598" t="s">
        <v>502</v>
      </c>
      <c r="B16" s="596" t="s">
        <v>508</v>
      </c>
      <c r="C16" s="778">
        <f>4</f>
        <v>4</v>
      </c>
      <c r="D16" s="778">
        <f>2</f>
        <v>2</v>
      </c>
      <c r="E16" s="789">
        <f t="shared" si="0"/>
        <v>-2</v>
      </c>
      <c r="F16" s="778">
        <v>0</v>
      </c>
      <c r="G16" s="789">
        <f t="shared" si="1"/>
        <v>-2</v>
      </c>
      <c r="H16" s="778">
        <v>0</v>
      </c>
      <c r="I16" s="774">
        <f t="shared" si="2"/>
        <v>0</v>
      </c>
      <c r="J16" s="794">
        <v>0</v>
      </c>
      <c r="K16" s="774">
        <f t="shared" si="3"/>
        <v>0</v>
      </c>
      <c r="L16" s="774">
        <f t="shared" si="4"/>
        <v>-4</v>
      </c>
    </row>
    <row r="17" spans="1:12" ht="12.75">
      <c r="A17" s="598" t="s">
        <v>527</v>
      </c>
      <c r="B17" s="596" t="s">
        <v>532</v>
      </c>
      <c r="C17" s="794">
        <f>78</f>
        <v>78</v>
      </c>
      <c r="D17" s="778">
        <f>74</f>
        <v>74</v>
      </c>
      <c r="E17" s="789">
        <f t="shared" si="0"/>
        <v>-4</v>
      </c>
      <c r="F17" s="778">
        <v>71</v>
      </c>
      <c r="G17" s="789">
        <f t="shared" si="1"/>
        <v>-3</v>
      </c>
      <c r="H17" s="778">
        <v>71</v>
      </c>
      <c r="I17" s="774">
        <f t="shared" si="2"/>
        <v>0</v>
      </c>
      <c r="J17" s="794">
        <v>131</v>
      </c>
      <c r="K17" s="774">
        <f t="shared" si="3"/>
        <v>60</v>
      </c>
      <c r="L17" s="774">
        <f t="shared" si="4"/>
        <v>53</v>
      </c>
    </row>
    <row r="18" spans="2:12" ht="12.75">
      <c r="B18" s="596" t="s">
        <v>356</v>
      </c>
      <c r="C18" s="794">
        <f>4919</f>
        <v>4919</v>
      </c>
      <c r="D18" s="778">
        <f>4937</f>
        <v>4937</v>
      </c>
      <c r="E18" s="789">
        <f t="shared" si="0"/>
        <v>18</v>
      </c>
      <c r="F18" s="778">
        <v>5112</v>
      </c>
      <c r="G18" s="789">
        <f t="shared" si="1"/>
        <v>175</v>
      </c>
      <c r="H18" s="778">
        <v>5198</v>
      </c>
      <c r="I18" s="774">
        <f t="shared" si="2"/>
        <v>86</v>
      </c>
      <c r="J18" s="794">
        <v>5135</v>
      </c>
      <c r="K18" s="774">
        <f t="shared" si="3"/>
        <v>-63</v>
      </c>
      <c r="L18" s="774">
        <f t="shared" si="4"/>
        <v>216</v>
      </c>
    </row>
    <row r="19" spans="1:12" s="546" customFormat="1" ht="12.75">
      <c r="A19" s="600" t="s">
        <v>461</v>
      </c>
      <c r="B19" s="582"/>
      <c r="C19" s="582">
        <f aca="true" t="shared" si="5" ref="C19:L19">SUM(C8:C18)</f>
        <v>16070</v>
      </c>
      <c r="D19" s="582">
        <f t="shared" si="5"/>
        <v>16099</v>
      </c>
      <c r="E19" s="582">
        <f t="shared" si="5"/>
        <v>29</v>
      </c>
      <c r="F19" s="582">
        <f t="shared" si="5"/>
        <v>16153</v>
      </c>
      <c r="G19" s="582">
        <f t="shared" si="5"/>
        <v>54</v>
      </c>
      <c r="H19" s="582">
        <f t="shared" si="5"/>
        <v>16267</v>
      </c>
      <c r="I19" s="582">
        <f t="shared" si="5"/>
        <v>114</v>
      </c>
      <c r="J19" s="582">
        <f t="shared" si="5"/>
        <v>16447</v>
      </c>
      <c r="K19" s="582">
        <f t="shared" si="5"/>
        <v>180</v>
      </c>
      <c r="L19" s="582">
        <f t="shared" si="5"/>
        <v>377</v>
      </c>
    </row>
    <row r="20" spans="2:8" ht="12.75">
      <c r="B20" s="596"/>
      <c r="C20" s="596"/>
      <c r="D20" s="596"/>
      <c r="E20" s="596"/>
      <c r="F20" s="596"/>
      <c r="G20" s="596"/>
      <c r="H20" s="596"/>
    </row>
    <row r="21" spans="1:8" ht="12.75">
      <c r="A21" s="81"/>
      <c r="B21" s="81"/>
      <c r="C21" s="81"/>
      <c r="D21" s="601"/>
      <c r="E21" s="601"/>
      <c r="F21" s="601"/>
      <c r="G21" s="601"/>
      <c r="H21" s="601"/>
    </row>
    <row r="22" spans="1:8" s="544" customFormat="1" ht="12.75">
      <c r="A22" s="541"/>
      <c r="B22" s="539" t="s">
        <v>453</v>
      </c>
      <c r="C22" s="542"/>
      <c r="D22" s="543"/>
      <c r="E22" s="542"/>
      <c r="F22" s="542"/>
      <c r="G22" s="542"/>
      <c r="H22" s="542"/>
    </row>
    <row r="23" spans="1:8" s="544" customFormat="1" ht="12.75">
      <c r="A23" s="541"/>
      <c r="B23" s="545"/>
      <c r="C23" s="542"/>
      <c r="D23" s="542"/>
      <c r="E23" s="542"/>
      <c r="F23" s="542"/>
      <c r="G23" s="542"/>
      <c r="H23" s="542"/>
    </row>
    <row r="24" spans="1:8" s="544" customFormat="1" ht="12.75">
      <c r="A24" s="541"/>
      <c r="B24" s="538" t="s">
        <v>368</v>
      </c>
      <c r="C24" s="542"/>
      <c r="D24" s="542"/>
      <c r="E24" s="542"/>
      <c r="F24" s="542"/>
      <c r="G24" s="542"/>
      <c r="H24" s="542"/>
    </row>
    <row r="25" spans="1:8" s="544" customFormat="1" ht="12.75">
      <c r="A25" s="541"/>
      <c r="B25" s="591" t="s">
        <v>454</v>
      </c>
      <c r="C25" s="542"/>
      <c r="D25" s="542"/>
      <c r="E25" s="542"/>
      <c r="F25" s="542"/>
      <c r="G25" s="542"/>
      <c r="H25" s="542"/>
    </row>
    <row r="26" spans="1:8" s="544" customFormat="1" ht="12.75">
      <c r="A26" s="541"/>
      <c r="B26" s="591" t="s">
        <v>455</v>
      </c>
      <c r="C26" s="542"/>
      <c r="D26" s="542"/>
      <c r="E26" s="542"/>
      <c r="F26" s="542"/>
      <c r="G26" s="542"/>
      <c r="H26" s="542"/>
    </row>
    <row r="27" spans="1:8" ht="12.75">
      <c r="A27" s="564"/>
      <c r="B27" s="563"/>
      <c r="C27" s="563"/>
      <c r="D27" s="563"/>
      <c r="E27" s="563"/>
      <c r="F27" s="563"/>
      <c r="G27" s="563"/>
      <c r="H27" s="563"/>
    </row>
    <row r="28" spans="1:8" ht="12.75">
      <c r="A28" s="564"/>
      <c r="B28" s="563"/>
      <c r="C28" s="563"/>
      <c r="D28" s="563"/>
      <c r="E28" s="563"/>
      <c r="F28" s="563"/>
      <c r="G28" s="563"/>
      <c r="H28" s="563"/>
    </row>
    <row r="29" spans="1:8" ht="12.75">
      <c r="A29" s="564"/>
      <c r="B29" s="563"/>
      <c r="C29" s="563"/>
      <c r="D29" s="563"/>
      <c r="E29" s="563"/>
      <c r="F29" s="563"/>
      <c r="G29" s="563"/>
      <c r="H29" s="563"/>
    </row>
    <row r="30" spans="1:8" ht="12.75">
      <c r="A30" s="564"/>
      <c r="B30" s="563"/>
      <c r="C30" s="563"/>
      <c r="D30" s="563"/>
      <c r="E30" s="563"/>
      <c r="F30" s="563"/>
      <c r="G30" s="563"/>
      <c r="H30" s="563"/>
    </row>
    <row r="31" spans="1:8" ht="12.75">
      <c r="A31" s="564"/>
      <c r="B31" s="563"/>
      <c r="C31" s="563"/>
      <c r="D31" s="563"/>
      <c r="E31" s="563"/>
      <c r="F31" s="563"/>
      <c r="G31" s="563"/>
      <c r="H31" s="563"/>
    </row>
    <row r="32" spans="1:8" ht="12.75">
      <c r="A32" s="564"/>
      <c r="B32" s="563"/>
      <c r="C32" s="563"/>
      <c r="D32" s="563"/>
      <c r="E32" s="563"/>
      <c r="F32" s="563"/>
      <c r="G32" s="563"/>
      <c r="H32" s="563"/>
    </row>
    <row r="33" spans="1:8" ht="12.75">
      <c r="A33" s="564"/>
      <c r="B33" s="563"/>
      <c r="C33" s="563"/>
      <c r="D33" s="563"/>
      <c r="E33" s="563"/>
      <c r="F33" s="563"/>
      <c r="G33" s="563"/>
      <c r="H33" s="563"/>
    </row>
    <row r="34" spans="1:8" ht="12.75">
      <c r="A34" s="564"/>
      <c r="B34" s="563"/>
      <c r="C34" s="563"/>
      <c r="D34" s="563"/>
      <c r="E34" s="563"/>
      <c r="F34" s="563"/>
      <c r="G34" s="563"/>
      <c r="H34" s="563"/>
    </row>
    <row r="35" spans="1:8" ht="12.75">
      <c r="A35" s="564"/>
      <c r="B35" s="563"/>
      <c r="C35" s="563"/>
      <c r="D35" s="563"/>
      <c r="E35" s="563"/>
      <c r="F35" s="563"/>
      <c r="G35" s="563"/>
      <c r="H35" s="563"/>
    </row>
    <row r="36" spans="1:8" ht="12.75">
      <c r="A36" s="564"/>
      <c r="B36" s="563"/>
      <c r="C36" s="563"/>
      <c r="D36" s="563"/>
      <c r="E36" s="563"/>
      <c r="F36" s="563"/>
      <c r="G36" s="563"/>
      <c r="H36" s="563"/>
    </row>
    <row r="37" spans="1:8" ht="12.75">
      <c r="A37" s="564"/>
      <c r="B37" s="563"/>
      <c r="C37" s="563"/>
      <c r="D37" s="563"/>
      <c r="E37" s="563"/>
      <c r="F37" s="563"/>
      <c r="G37" s="563"/>
      <c r="H37" s="563"/>
    </row>
    <row r="38" spans="1:8" ht="12.75">
      <c r="A38" s="564"/>
      <c r="B38" s="563"/>
      <c r="C38" s="563"/>
      <c r="D38" s="563"/>
      <c r="E38" s="563"/>
      <c r="F38" s="563"/>
      <c r="G38" s="563"/>
      <c r="H38" s="563"/>
    </row>
    <row r="39" spans="1:8" ht="12.75">
      <c r="A39" s="564"/>
      <c r="B39" s="563"/>
      <c r="C39" s="563"/>
      <c r="D39" s="563"/>
      <c r="E39" s="563"/>
      <c r="F39" s="563"/>
      <c r="G39" s="563"/>
      <c r="H39" s="563"/>
    </row>
    <row r="40" spans="1:8" ht="12.75">
      <c r="A40" s="564"/>
      <c r="B40" s="563"/>
      <c r="C40" s="563"/>
      <c r="D40" s="563"/>
      <c r="E40" s="563"/>
      <c r="F40" s="563"/>
      <c r="G40" s="563"/>
      <c r="H40" s="563"/>
    </row>
    <row r="41" spans="1:8" ht="12.75">
      <c r="A41" s="564"/>
      <c r="B41" s="563"/>
      <c r="C41" s="563"/>
      <c r="D41" s="563"/>
      <c r="E41" s="563"/>
      <c r="F41" s="563"/>
      <c r="G41" s="563"/>
      <c r="H41" s="563"/>
    </row>
    <row r="42" spans="1:8" ht="12.75">
      <c r="A42" s="564"/>
      <c r="B42" s="563"/>
      <c r="C42" s="563"/>
      <c r="D42" s="563"/>
      <c r="E42" s="563"/>
      <c r="F42" s="563"/>
      <c r="G42" s="563"/>
      <c r="H42" s="563"/>
    </row>
    <row r="43" spans="1:8" ht="12.75">
      <c r="A43" s="564"/>
      <c r="B43" s="563"/>
      <c r="C43" s="563"/>
      <c r="D43" s="563"/>
      <c r="E43" s="563"/>
      <c r="F43" s="563"/>
      <c r="G43" s="563"/>
      <c r="H43" s="563"/>
    </row>
    <row r="44" spans="1:8" ht="12.75">
      <c r="A44" s="564"/>
      <c r="B44" s="563"/>
      <c r="C44" s="563"/>
      <c r="D44" s="563"/>
      <c r="E44" s="563"/>
      <c r="F44" s="563"/>
      <c r="G44" s="563"/>
      <c r="H44" s="563"/>
    </row>
    <row r="45" spans="1:8" ht="12.75">
      <c r="A45" s="564"/>
      <c r="B45" s="563"/>
      <c r="C45" s="563"/>
      <c r="D45" s="563"/>
      <c r="E45" s="563"/>
      <c r="F45" s="563"/>
      <c r="G45" s="563"/>
      <c r="H45" s="563"/>
    </row>
    <row r="46" spans="1:8" ht="12.75">
      <c r="A46" s="564"/>
      <c r="B46" s="563"/>
      <c r="C46" s="563"/>
      <c r="D46" s="563"/>
      <c r="E46" s="563"/>
      <c r="F46" s="563"/>
      <c r="G46" s="563"/>
      <c r="H46" s="563"/>
    </row>
    <row r="47" spans="1:8" ht="12.75">
      <c r="A47" s="564"/>
      <c r="B47" s="563"/>
      <c r="C47" s="563"/>
      <c r="D47" s="563"/>
      <c r="E47" s="563"/>
      <c r="F47" s="563"/>
      <c r="G47" s="563"/>
      <c r="H47" s="563"/>
    </row>
    <row r="48" spans="1:8" ht="12.75">
      <c r="A48" s="564"/>
      <c r="B48" s="563"/>
      <c r="C48" s="563"/>
      <c r="D48" s="563"/>
      <c r="E48" s="563"/>
      <c r="F48" s="563"/>
      <c r="G48" s="563"/>
      <c r="H48" s="563"/>
    </row>
    <row r="49" spans="1:8" ht="12.75">
      <c r="A49" s="564"/>
      <c r="B49" s="563"/>
      <c r="C49" s="563"/>
      <c r="D49" s="563"/>
      <c r="E49" s="563"/>
      <c r="F49" s="563"/>
      <c r="G49" s="563"/>
      <c r="H49" s="563"/>
    </row>
    <row r="50" spans="1:8" ht="12.75">
      <c r="A50" s="564"/>
      <c r="B50" s="563"/>
      <c r="C50" s="563"/>
      <c r="D50" s="563"/>
      <c r="E50" s="563"/>
      <c r="F50" s="563"/>
      <c r="G50" s="563"/>
      <c r="H50" s="563"/>
    </row>
    <row r="51" spans="1:8" ht="12.75">
      <c r="A51" s="564"/>
      <c r="B51" s="563"/>
      <c r="C51" s="563"/>
      <c r="D51" s="563"/>
      <c r="E51" s="563"/>
      <c r="F51" s="563"/>
      <c r="G51" s="563"/>
      <c r="H51" s="563"/>
    </row>
    <row r="52" spans="1:8" ht="12.75">
      <c r="A52" s="564"/>
      <c r="B52" s="563"/>
      <c r="C52" s="563"/>
      <c r="D52" s="563"/>
      <c r="E52" s="563"/>
      <c r="F52" s="563"/>
      <c r="G52" s="563"/>
      <c r="H52" s="563"/>
    </row>
    <row r="53" spans="1:8" ht="12.75">
      <c r="A53" s="564"/>
      <c r="B53" s="563"/>
      <c r="C53" s="563"/>
      <c r="D53" s="563"/>
      <c r="E53" s="563"/>
      <c r="F53" s="563"/>
      <c r="G53" s="563"/>
      <c r="H53" s="563"/>
    </row>
    <row r="54" spans="1:8" ht="12.75">
      <c r="A54" s="564"/>
      <c r="B54" s="563"/>
      <c r="C54" s="563"/>
      <c r="D54" s="563"/>
      <c r="E54" s="563"/>
      <c r="F54" s="563"/>
      <c r="G54" s="563"/>
      <c r="H54" s="563"/>
    </row>
    <row r="55" spans="1:8" ht="12.75">
      <c r="A55" s="564"/>
      <c r="B55" s="563"/>
      <c r="C55" s="563"/>
      <c r="D55" s="563"/>
      <c r="E55" s="563"/>
      <c r="F55" s="563"/>
      <c r="G55" s="563"/>
      <c r="H55" s="563"/>
    </row>
    <row r="56" spans="1:8" ht="12.75">
      <c r="A56" s="564"/>
      <c r="B56" s="563"/>
      <c r="C56" s="563"/>
      <c r="D56" s="563"/>
      <c r="E56" s="563"/>
      <c r="F56" s="563"/>
      <c r="G56" s="563"/>
      <c r="H56" s="563"/>
    </row>
    <row r="57" spans="1:8" ht="12.75">
      <c r="A57" s="564"/>
      <c r="B57" s="563"/>
      <c r="C57" s="563"/>
      <c r="D57" s="563"/>
      <c r="E57" s="563"/>
      <c r="F57" s="563"/>
      <c r="G57" s="563"/>
      <c r="H57" s="563"/>
    </row>
    <row r="58" spans="1:8" ht="12.75">
      <c r="A58" s="564"/>
      <c r="B58" s="563"/>
      <c r="C58" s="563"/>
      <c r="D58" s="563"/>
      <c r="E58" s="563"/>
      <c r="F58" s="563"/>
      <c r="G58" s="563"/>
      <c r="H58" s="563"/>
    </row>
    <row r="59" spans="1:8" ht="12.75">
      <c r="A59" s="564"/>
      <c r="B59" s="563"/>
      <c r="C59" s="563"/>
      <c r="D59" s="563"/>
      <c r="E59" s="563"/>
      <c r="F59" s="563"/>
      <c r="G59" s="563"/>
      <c r="H59" s="563"/>
    </row>
    <row r="60" spans="1:8" ht="12.75">
      <c r="A60" s="564"/>
      <c r="B60" s="563"/>
      <c r="C60" s="563"/>
      <c r="D60" s="563"/>
      <c r="E60" s="563"/>
      <c r="F60" s="563"/>
      <c r="G60" s="563"/>
      <c r="H60" s="563"/>
    </row>
    <row r="61" spans="1:8" ht="12.75">
      <c r="A61" s="564"/>
      <c r="B61" s="563"/>
      <c r="C61" s="563"/>
      <c r="D61" s="563"/>
      <c r="E61" s="563"/>
      <c r="F61" s="563"/>
      <c r="G61" s="563"/>
      <c r="H61" s="563"/>
    </row>
    <row r="62" spans="1:8" ht="12.75">
      <c r="A62" s="564"/>
      <c r="B62" s="563"/>
      <c r="C62" s="563"/>
      <c r="D62" s="563"/>
      <c r="E62" s="563"/>
      <c r="F62" s="563"/>
      <c r="G62" s="563"/>
      <c r="H62" s="563"/>
    </row>
    <row r="63" spans="1:8" ht="12.75">
      <c r="A63" s="564"/>
      <c r="B63" s="563"/>
      <c r="C63" s="563"/>
      <c r="D63" s="563"/>
      <c r="E63" s="563"/>
      <c r="F63" s="563"/>
      <c r="G63" s="563"/>
      <c r="H63" s="563"/>
    </row>
    <row r="64" spans="1:8" ht="12.75">
      <c r="A64" s="564"/>
      <c r="B64" s="563"/>
      <c r="C64" s="563"/>
      <c r="D64" s="563"/>
      <c r="E64" s="563"/>
      <c r="F64" s="563"/>
      <c r="G64" s="563"/>
      <c r="H64" s="563"/>
    </row>
    <row r="65" spans="1:8" ht="12.75">
      <c r="A65" s="564"/>
      <c r="B65" s="563"/>
      <c r="C65" s="563"/>
      <c r="D65" s="563"/>
      <c r="E65" s="563"/>
      <c r="F65" s="563"/>
      <c r="G65" s="563"/>
      <c r="H65" s="563"/>
    </row>
    <row r="66" spans="1:8" ht="12.75">
      <c r="A66" s="564"/>
      <c r="B66" s="563"/>
      <c r="C66" s="563"/>
      <c r="D66" s="563"/>
      <c r="E66" s="563"/>
      <c r="F66" s="563"/>
      <c r="G66" s="563"/>
      <c r="H66" s="563"/>
    </row>
    <row r="67" spans="1:8" ht="12.75">
      <c r="A67" s="564"/>
      <c r="B67" s="563"/>
      <c r="C67" s="563"/>
      <c r="D67" s="563"/>
      <c r="E67" s="563"/>
      <c r="F67" s="563"/>
      <c r="G67" s="563"/>
      <c r="H67" s="563"/>
    </row>
    <row r="68" spans="1:8" ht="12.75">
      <c r="A68" s="564"/>
      <c r="B68" s="563"/>
      <c r="C68" s="563"/>
      <c r="D68" s="563"/>
      <c r="E68" s="563"/>
      <c r="F68" s="563"/>
      <c r="G68" s="563"/>
      <c r="H68" s="563"/>
    </row>
    <row r="69" spans="1:8" ht="12.75">
      <c r="A69" s="564"/>
      <c r="B69" s="563"/>
      <c r="C69" s="563"/>
      <c r="D69" s="563"/>
      <c r="E69" s="563"/>
      <c r="F69" s="563"/>
      <c r="G69" s="563"/>
      <c r="H69" s="563"/>
    </row>
    <row r="70" spans="1:8" ht="12.75">
      <c r="A70" s="564"/>
      <c r="B70" s="563"/>
      <c r="C70" s="563"/>
      <c r="D70" s="563"/>
      <c r="E70" s="563"/>
      <c r="F70" s="563"/>
      <c r="G70" s="563"/>
      <c r="H70" s="563"/>
    </row>
    <row r="71" spans="1:8" ht="12.75">
      <c r="A71" s="564"/>
      <c r="B71" s="563"/>
      <c r="C71" s="563"/>
      <c r="D71" s="563"/>
      <c r="E71" s="563"/>
      <c r="F71" s="563"/>
      <c r="G71" s="563"/>
      <c r="H71" s="563"/>
    </row>
    <row r="72" spans="1:8" ht="12.75">
      <c r="A72" s="564"/>
      <c r="B72" s="563"/>
      <c r="C72" s="563"/>
      <c r="D72" s="563"/>
      <c r="E72" s="563"/>
      <c r="F72" s="563"/>
      <c r="G72" s="563"/>
      <c r="H72" s="563"/>
    </row>
    <row r="73" spans="1:8" ht="12.75">
      <c r="A73" s="564"/>
      <c r="B73" s="563"/>
      <c r="C73" s="563"/>
      <c r="D73" s="563"/>
      <c r="E73" s="563"/>
      <c r="F73" s="563"/>
      <c r="G73" s="563"/>
      <c r="H73" s="563"/>
    </row>
    <row r="74" spans="1:8" ht="12.75">
      <c r="A74" s="564"/>
      <c r="B74" s="563"/>
      <c r="C74" s="563"/>
      <c r="D74" s="563"/>
      <c r="E74" s="563"/>
      <c r="F74" s="563"/>
      <c r="G74" s="563"/>
      <c r="H74" s="563"/>
    </row>
    <row r="75" spans="1:8" ht="12.75">
      <c r="A75" s="564"/>
      <c r="B75" s="563"/>
      <c r="C75" s="563"/>
      <c r="D75" s="563"/>
      <c r="E75" s="563"/>
      <c r="F75" s="563"/>
      <c r="G75" s="563"/>
      <c r="H75" s="563"/>
    </row>
    <row r="76" spans="1:8" ht="12.75">
      <c r="A76" s="564"/>
      <c r="B76" s="563"/>
      <c r="C76" s="563"/>
      <c r="D76" s="563"/>
      <c r="E76" s="563"/>
      <c r="F76" s="563"/>
      <c r="G76" s="563"/>
      <c r="H76" s="563"/>
    </row>
    <row r="77" spans="1:8" ht="12.75">
      <c r="A77" s="564"/>
      <c r="B77" s="563"/>
      <c r="C77" s="563"/>
      <c r="D77" s="563"/>
      <c r="E77" s="563"/>
      <c r="F77" s="563"/>
      <c r="G77" s="563"/>
      <c r="H77" s="563"/>
    </row>
    <row r="78" spans="1:8" ht="12.75">
      <c r="A78" s="564"/>
      <c r="B78" s="563"/>
      <c r="C78" s="563"/>
      <c r="D78" s="563"/>
      <c r="E78" s="563"/>
      <c r="F78" s="563"/>
      <c r="G78" s="563"/>
      <c r="H78" s="563"/>
    </row>
    <row r="79" spans="1:8" ht="12.75">
      <c r="A79" s="564"/>
      <c r="B79" s="563"/>
      <c r="C79" s="563"/>
      <c r="D79" s="563"/>
      <c r="E79" s="563"/>
      <c r="F79" s="563"/>
      <c r="G79" s="563"/>
      <c r="H79" s="563"/>
    </row>
    <row r="80" spans="1:8" ht="12.75">
      <c r="A80" s="564"/>
      <c r="B80" s="563"/>
      <c r="C80" s="563"/>
      <c r="D80" s="563"/>
      <c r="E80" s="563"/>
      <c r="F80" s="563"/>
      <c r="G80" s="563"/>
      <c r="H80" s="563"/>
    </row>
    <row r="81" spans="1:8" ht="12.75">
      <c r="A81" s="564"/>
      <c r="B81" s="563"/>
      <c r="C81" s="563"/>
      <c r="D81" s="563"/>
      <c r="E81" s="563"/>
      <c r="F81" s="563"/>
      <c r="G81" s="563"/>
      <c r="H81" s="563"/>
    </row>
    <row r="82" spans="1:8" ht="12.75">
      <c r="A82" s="564"/>
      <c r="B82" s="563"/>
      <c r="C82" s="563"/>
      <c r="D82" s="563"/>
      <c r="E82" s="563"/>
      <c r="F82" s="563"/>
      <c r="G82" s="563"/>
      <c r="H82" s="563"/>
    </row>
    <row r="83" spans="1:8" ht="12.75">
      <c r="A83" s="564"/>
      <c r="B83" s="563"/>
      <c r="C83" s="563"/>
      <c r="D83" s="563"/>
      <c r="E83" s="563"/>
      <c r="F83" s="563"/>
      <c r="G83" s="563"/>
      <c r="H83" s="563"/>
    </row>
    <row r="84" spans="1:8" ht="12.75">
      <c r="A84" s="564"/>
      <c r="B84" s="563"/>
      <c r="C84" s="563"/>
      <c r="D84" s="563"/>
      <c r="E84" s="563"/>
      <c r="F84" s="563"/>
      <c r="G84" s="563"/>
      <c r="H84" s="563"/>
    </row>
    <row r="85" spans="1:8" ht="12.75">
      <c r="A85" s="564"/>
      <c r="B85" s="563"/>
      <c r="C85" s="563"/>
      <c r="D85" s="563"/>
      <c r="E85" s="563"/>
      <c r="F85" s="563"/>
      <c r="G85" s="563"/>
      <c r="H85" s="563"/>
    </row>
    <row r="86" spans="1:8" ht="12.75">
      <c r="A86" s="564"/>
      <c r="B86" s="563"/>
      <c r="C86" s="563"/>
      <c r="D86" s="563"/>
      <c r="E86" s="563"/>
      <c r="F86" s="563"/>
      <c r="G86" s="563"/>
      <c r="H86" s="563"/>
    </row>
    <row r="87" spans="1:8" ht="12.75">
      <c r="A87" s="564"/>
      <c r="B87" s="563"/>
      <c r="C87" s="563"/>
      <c r="D87" s="563"/>
      <c r="E87" s="563"/>
      <c r="F87" s="563"/>
      <c r="G87" s="563"/>
      <c r="H87" s="563"/>
    </row>
    <row r="88" spans="1:8" ht="12.75">
      <c r="A88" s="564"/>
      <c r="B88" s="563"/>
      <c r="C88" s="563"/>
      <c r="D88" s="563"/>
      <c r="E88" s="563"/>
      <c r="F88" s="563"/>
      <c r="G88" s="563"/>
      <c r="H88" s="563"/>
    </row>
    <row r="89" spans="1:8" ht="12.75">
      <c r="A89" s="564"/>
      <c r="B89" s="563"/>
      <c r="C89" s="563"/>
      <c r="D89" s="563"/>
      <c r="E89" s="563"/>
      <c r="F89" s="563"/>
      <c r="G89" s="563"/>
      <c r="H89" s="563"/>
    </row>
    <row r="90" spans="1:8" ht="12.75">
      <c r="A90" s="564"/>
      <c r="B90" s="563"/>
      <c r="C90" s="563"/>
      <c r="D90" s="563"/>
      <c r="E90" s="563"/>
      <c r="F90" s="563"/>
      <c r="G90" s="563"/>
      <c r="H90" s="563"/>
    </row>
    <row r="91" spans="1:8" ht="12.75">
      <c r="A91" s="564"/>
      <c r="B91" s="563"/>
      <c r="C91" s="563"/>
      <c r="D91" s="563"/>
      <c r="E91" s="563"/>
      <c r="F91" s="563"/>
      <c r="G91" s="563"/>
      <c r="H91" s="563"/>
    </row>
    <row r="92" spans="1:8" ht="12.75">
      <c r="A92" s="564"/>
      <c r="B92" s="563"/>
      <c r="C92" s="563"/>
      <c r="D92" s="563"/>
      <c r="E92" s="563"/>
      <c r="F92" s="563"/>
      <c r="G92" s="563"/>
      <c r="H92" s="563"/>
    </row>
    <row r="93" spans="1:8" ht="12.75">
      <c r="A93" s="564"/>
      <c r="B93" s="563"/>
      <c r="C93" s="563"/>
      <c r="D93" s="563"/>
      <c r="E93" s="563"/>
      <c r="F93" s="563"/>
      <c r="G93" s="563"/>
      <c r="H93" s="563"/>
    </row>
    <row r="94" spans="1:8" ht="12.75">
      <c r="A94" s="564"/>
      <c r="B94" s="563"/>
      <c r="C94" s="563"/>
      <c r="D94" s="563"/>
      <c r="E94" s="563"/>
      <c r="F94" s="563"/>
      <c r="G94" s="563"/>
      <c r="H94" s="563"/>
    </row>
    <row r="95" spans="1:8" ht="12.75">
      <c r="A95" s="564"/>
      <c r="B95" s="563"/>
      <c r="C95" s="563"/>
      <c r="D95" s="563"/>
      <c r="E95" s="563"/>
      <c r="F95" s="563"/>
      <c r="G95" s="563"/>
      <c r="H95" s="563"/>
    </row>
    <row r="96" spans="1:8" ht="12.75">
      <c r="A96" s="564"/>
      <c r="B96" s="563"/>
      <c r="C96" s="563"/>
      <c r="D96" s="563"/>
      <c r="E96" s="563"/>
      <c r="F96" s="563"/>
      <c r="G96" s="563"/>
      <c r="H96" s="563"/>
    </row>
    <row r="97" spans="1:8" ht="12.75">
      <c r="A97" s="564"/>
      <c r="B97" s="563"/>
      <c r="C97" s="563"/>
      <c r="D97" s="563"/>
      <c r="E97" s="563"/>
      <c r="F97" s="563"/>
      <c r="G97" s="563"/>
      <c r="H97" s="563"/>
    </row>
    <row r="98" spans="1:8" ht="12.75">
      <c r="A98" s="564"/>
      <c r="B98" s="563"/>
      <c r="C98" s="563"/>
      <c r="D98" s="563"/>
      <c r="E98" s="563"/>
      <c r="F98" s="563"/>
      <c r="G98" s="563"/>
      <c r="H98" s="563"/>
    </row>
    <row r="99" spans="1:8" ht="12.75">
      <c r="A99" s="564"/>
      <c r="B99" s="563"/>
      <c r="C99" s="563"/>
      <c r="D99" s="563"/>
      <c r="E99" s="563"/>
      <c r="F99" s="563"/>
      <c r="G99" s="563"/>
      <c r="H99" s="563"/>
    </row>
    <row r="100" spans="1:8" ht="12.75">
      <c r="A100" s="564"/>
      <c r="B100" s="563"/>
      <c r="C100" s="563"/>
      <c r="D100" s="563"/>
      <c r="E100" s="563"/>
      <c r="F100" s="563"/>
      <c r="G100" s="563"/>
      <c r="H100" s="563"/>
    </row>
    <row r="101" spans="1:8" ht="12.75">
      <c r="A101" s="564"/>
      <c r="B101" s="563"/>
      <c r="C101" s="563"/>
      <c r="D101" s="563"/>
      <c r="E101" s="563"/>
      <c r="F101" s="563"/>
      <c r="G101" s="563"/>
      <c r="H101" s="563"/>
    </row>
    <row r="102" spans="1:8" ht="12.75">
      <c r="A102" s="564"/>
      <c r="B102" s="563"/>
      <c r="C102" s="563"/>
      <c r="D102" s="563"/>
      <c r="E102" s="563"/>
      <c r="F102" s="563"/>
      <c r="G102" s="563"/>
      <c r="H102" s="563"/>
    </row>
    <row r="103" spans="1:8" ht="12.75">
      <c r="A103" s="564"/>
      <c r="B103" s="563"/>
      <c r="C103" s="563"/>
      <c r="D103" s="563"/>
      <c r="E103" s="563"/>
      <c r="F103" s="563"/>
      <c r="G103" s="563"/>
      <c r="H103" s="563"/>
    </row>
    <row r="104" spans="1:8" ht="12.75">
      <c r="A104" s="564"/>
      <c r="B104" s="563"/>
      <c r="C104" s="563"/>
      <c r="D104" s="563"/>
      <c r="E104" s="563"/>
      <c r="F104" s="563"/>
      <c r="G104" s="563"/>
      <c r="H104" s="563"/>
    </row>
    <row r="105" spans="1:8" ht="12.75">
      <c r="A105" s="564"/>
      <c r="B105" s="563"/>
      <c r="C105" s="563"/>
      <c r="D105" s="563"/>
      <c r="E105" s="563"/>
      <c r="F105" s="563"/>
      <c r="G105" s="563"/>
      <c r="H105" s="563"/>
    </row>
    <row r="106" spans="1:8" ht="12.75">
      <c r="A106" s="564"/>
      <c r="B106" s="563"/>
      <c r="C106" s="563"/>
      <c r="D106" s="563"/>
      <c r="E106" s="563"/>
      <c r="F106" s="563"/>
      <c r="G106" s="563"/>
      <c r="H106" s="563"/>
    </row>
    <row r="107" spans="1:8" ht="12.75">
      <c r="A107" s="564"/>
      <c r="B107" s="563"/>
      <c r="C107" s="563"/>
      <c r="D107" s="563"/>
      <c r="E107" s="563"/>
      <c r="F107" s="563"/>
      <c r="G107" s="563"/>
      <c r="H107" s="563"/>
    </row>
    <row r="108" spans="1:8" ht="12.75">
      <c r="A108" s="564"/>
      <c r="B108" s="563"/>
      <c r="C108" s="563"/>
      <c r="D108" s="563"/>
      <c r="E108" s="563"/>
      <c r="F108" s="563"/>
      <c r="G108" s="563"/>
      <c r="H108" s="563"/>
    </row>
    <row r="109" spans="1:8" ht="12.75">
      <c r="A109" s="564"/>
      <c r="B109" s="563"/>
      <c r="C109" s="563"/>
      <c r="D109" s="563"/>
      <c r="E109" s="563"/>
      <c r="F109" s="563"/>
      <c r="G109" s="563"/>
      <c r="H109" s="563"/>
    </row>
    <row r="110" spans="1:8" ht="12.75">
      <c r="A110" s="564"/>
      <c r="B110" s="563"/>
      <c r="C110" s="563"/>
      <c r="D110" s="563"/>
      <c r="E110" s="563"/>
      <c r="F110" s="563"/>
      <c r="G110" s="563"/>
      <c r="H110" s="563"/>
    </row>
    <row r="111" spans="1:8" ht="12.75">
      <c r="A111" s="564"/>
      <c r="B111" s="563"/>
      <c r="C111" s="563"/>
      <c r="D111" s="563"/>
      <c r="E111" s="563"/>
      <c r="F111" s="563"/>
      <c r="G111" s="563"/>
      <c r="H111" s="563"/>
    </row>
    <row r="112" spans="1:8" ht="12.75">
      <c r="A112" s="564"/>
      <c r="B112" s="563"/>
      <c r="C112" s="563"/>
      <c r="D112" s="563"/>
      <c r="E112" s="563"/>
      <c r="F112" s="563"/>
      <c r="G112" s="563"/>
      <c r="H112" s="563"/>
    </row>
    <row r="113" spans="1:8" ht="12.75">
      <c r="A113" s="564"/>
      <c r="B113" s="563"/>
      <c r="C113" s="563"/>
      <c r="D113" s="563"/>
      <c r="E113" s="563"/>
      <c r="F113" s="563"/>
      <c r="G113" s="563"/>
      <c r="H113" s="563"/>
    </row>
    <row r="114" spans="1:8" ht="12.75">
      <c r="A114" s="564"/>
      <c r="B114" s="563"/>
      <c r="C114" s="563"/>
      <c r="D114" s="563"/>
      <c r="E114" s="563"/>
      <c r="F114" s="563"/>
      <c r="G114" s="563"/>
      <c r="H114" s="563"/>
    </row>
    <row r="115" spans="1:8" ht="12.75">
      <c r="A115" s="564"/>
      <c r="B115" s="563"/>
      <c r="C115" s="563"/>
      <c r="D115" s="563"/>
      <c r="E115" s="563"/>
      <c r="F115" s="563"/>
      <c r="G115" s="563"/>
      <c r="H115" s="563"/>
    </row>
    <row r="116" spans="1:8" ht="12.75">
      <c r="A116" s="564"/>
      <c r="B116" s="563"/>
      <c r="C116" s="563"/>
      <c r="D116" s="563"/>
      <c r="E116" s="563"/>
      <c r="F116" s="563"/>
      <c r="G116" s="563"/>
      <c r="H116" s="563"/>
    </row>
    <row r="117" spans="1:8" ht="12.75">
      <c r="A117" s="564"/>
      <c r="B117" s="563"/>
      <c r="C117" s="563"/>
      <c r="D117" s="563"/>
      <c r="E117" s="563"/>
      <c r="F117" s="563"/>
      <c r="G117" s="563"/>
      <c r="H117" s="563"/>
    </row>
    <row r="118" spans="1:8" ht="12.75">
      <c r="A118" s="564"/>
      <c r="B118" s="563"/>
      <c r="C118" s="563"/>
      <c r="D118" s="563"/>
      <c r="E118" s="563"/>
      <c r="F118" s="563"/>
      <c r="G118" s="563"/>
      <c r="H118" s="563"/>
    </row>
    <row r="119" spans="1:8" ht="12.75">
      <c r="A119" s="564"/>
      <c r="B119" s="563"/>
      <c r="C119" s="563"/>
      <c r="D119" s="563"/>
      <c r="E119" s="563"/>
      <c r="F119" s="563"/>
      <c r="G119" s="563"/>
      <c r="H119" s="563"/>
    </row>
    <row r="120" spans="1:8" ht="12.75">
      <c r="A120" s="564"/>
      <c r="B120" s="563"/>
      <c r="C120" s="563"/>
      <c r="D120" s="563"/>
      <c r="E120" s="563"/>
      <c r="F120" s="563"/>
      <c r="G120" s="563"/>
      <c r="H120" s="563"/>
    </row>
    <row r="121" spans="1:8" ht="12.75">
      <c r="A121" s="564"/>
      <c r="B121" s="563"/>
      <c r="C121" s="563"/>
      <c r="D121" s="563"/>
      <c r="E121" s="563"/>
      <c r="F121" s="563"/>
      <c r="G121" s="563"/>
      <c r="H121" s="563"/>
    </row>
    <row r="122" spans="1:8" ht="12.75">
      <c r="A122" s="564"/>
      <c r="B122" s="563"/>
      <c r="C122" s="563"/>
      <c r="D122" s="563"/>
      <c r="E122" s="563"/>
      <c r="F122" s="563"/>
      <c r="G122" s="563"/>
      <c r="H122" s="563"/>
    </row>
    <row r="123" spans="1:8" ht="12.75">
      <c r="A123" s="564"/>
      <c r="B123" s="563"/>
      <c r="C123" s="563"/>
      <c r="D123" s="563"/>
      <c r="E123" s="563"/>
      <c r="F123" s="563"/>
      <c r="G123" s="563"/>
      <c r="H123" s="563"/>
    </row>
    <row r="124" spans="1:8" ht="12.75">
      <c r="A124" s="564"/>
      <c r="B124" s="563"/>
      <c r="C124" s="563"/>
      <c r="D124" s="563"/>
      <c r="E124" s="563"/>
      <c r="F124" s="563"/>
      <c r="G124" s="563"/>
      <c r="H124" s="563"/>
    </row>
    <row r="125" spans="1:8" ht="12.75">
      <c r="A125" s="564"/>
      <c r="B125" s="563"/>
      <c r="C125" s="563"/>
      <c r="D125" s="563"/>
      <c r="E125" s="563"/>
      <c r="F125" s="563"/>
      <c r="G125" s="563"/>
      <c r="H125" s="563"/>
    </row>
    <row r="126" spans="1:8" ht="12.75">
      <c r="A126" s="564"/>
      <c r="B126" s="563"/>
      <c r="C126" s="563"/>
      <c r="D126" s="563"/>
      <c r="E126" s="563"/>
      <c r="F126" s="563"/>
      <c r="G126" s="563"/>
      <c r="H126" s="563"/>
    </row>
    <row r="127" spans="1:8" ht="12.75">
      <c r="A127" s="564"/>
      <c r="B127" s="563"/>
      <c r="C127" s="563"/>
      <c r="D127" s="563"/>
      <c r="E127" s="563"/>
      <c r="F127" s="563"/>
      <c r="G127" s="563"/>
      <c r="H127" s="563"/>
    </row>
    <row r="128" spans="1:8" ht="12.75">
      <c r="A128" s="564"/>
      <c r="B128" s="563"/>
      <c r="C128" s="563"/>
      <c r="D128" s="563"/>
      <c r="E128" s="563"/>
      <c r="F128" s="563"/>
      <c r="G128" s="563"/>
      <c r="H128" s="563"/>
    </row>
    <row r="129" spans="1:8" ht="12.75">
      <c r="A129" s="564"/>
      <c r="B129" s="563"/>
      <c r="C129" s="563"/>
      <c r="D129" s="563"/>
      <c r="E129" s="563"/>
      <c r="F129" s="563"/>
      <c r="G129" s="563"/>
      <c r="H129" s="563"/>
    </row>
    <row r="130" spans="1:8" ht="12.75">
      <c r="A130" s="564"/>
      <c r="B130" s="563"/>
      <c r="C130" s="563"/>
      <c r="D130" s="563"/>
      <c r="E130" s="563"/>
      <c r="F130" s="563"/>
      <c r="G130" s="563"/>
      <c r="H130" s="563"/>
    </row>
    <row r="131" spans="1:8" ht="12.75">
      <c r="A131" s="564"/>
      <c r="B131" s="563"/>
      <c r="C131" s="563"/>
      <c r="D131" s="563"/>
      <c r="E131" s="563"/>
      <c r="F131" s="563"/>
      <c r="G131" s="563"/>
      <c r="H131" s="563"/>
    </row>
    <row r="132" spans="1:8" ht="12.75">
      <c r="A132" s="564"/>
      <c r="B132" s="563"/>
      <c r="C132" s="563"/>
      <c r="D132" s="563"/>
      <c r="E132" s="563"/>
      <c r="F132" s="563"/>
      <c r="G132" s="563"/>
      <c r="H132" s="563"/>
    </row>
    <row r="133" spans="1:8" ht="12.75">
      <c r="A133" s="564"/>
      <c r="B133" s="563"/>
      <c r="C133" s="563"/>
      <c r="D133" s="563"/>
      <c r="E133" s="563"/>
      <c r="F133" s="563"/>
      <c r="G133" s="563"/>
      <c r="H133" s="563"/>
    </row>
    <row r="134" spans="1:8" ht="12.75">
      <c r="A134" s="564"/>
      <c r="B134" s="563"/>
      <c r="C134" s="563"/>
      <c r="D134" s="563"/>
      <c r="E134" s="563"/>
      <c r="F134" s="563"/>
      <c r="G134" s="563"/>
      <c r="H134" s="563"/>
    </row>
    <row r="135" spans="1:8" ht="12.75">
      <c r="A135" s="564"/>
      <c r="B135" s="563"/>
      <c r="C135" s="563"/>
      <c r="D135" s="563"/>
      <c r="E135" s="563"/>
      <c r="F135" s="563"/>
      <c r="G135" s="563"/>
      <c r="H135" s="563"/>
    </row>
    <row r="136" spans="1:8" ht="12.75">
      <c r="A136" s="564"/>
      <c r="B136" s="563"/>
      <c r="C136" s="563"/>
      <c r="D136" s="563"/>
      <c r="E136" s="563"/>
      <c r="F136" s="563"/>
      <c r="G136" s="563"/>
      <c r="H136" s="563"/>
    </row>
    <row r="137" spans="1:8" ht="12.75">
      <c r="A137" s="564"/>
      <c r="B137" s="563"/>
      <c r="C137" s="563"/>
      <c r="D137" s="563"/>
      <c r="E137" s="563"/>
      <c r="F137" s="563"/>
      <c r="G137" s="563"/>
      <c r="H137" s="563"/>
    </row>
    <row r="138" spans="1:8" ht="12.75">
      <c r="A138" s="564"/>
      <c r="B138" s="563"/>
      <c r="C138" s="563"/>
      <c r="D138" s="563"/>
      <c r="E138" s="563"/>
      <c r="F138" s="563"/>
      <c r="G138" s="563"/>
      <c r="H138" s="563"/>
    </row>
    <row r="139" spans="1:8" ht="12.75">
      <c r="A139" s="564"/>
      <c r="B139" s="563"/>
      <c r="C139" s="563"/>
      <c r="D139" s="563"/>
      <c r="E139" s="563"/>
      <c r="F139" s="563"/>
      <c r="G139" s="563"/>
      <c r="H139" s="563"/>
    </row>
    <row r="140" spans="1:8" ht="12.75">
      <c r="A140" s="564"/>
      <c r="B140" s="563"/>
      <c r="C140" s="563"/>
      <c r="D140" s="563"/>
      <c r="E140" s="563"/>
      <c r="F140" s="563"/>
      <c r="G140" s="563"/>
      <c r="H140" s="563"/>
    </row>
    <row r="141" spans="1:8" ht="12.75">
      <c r="A141" s="564"/>
      <c r="B141" s="563"/>
      <c r="C141" s="563"/>
      <c r="D141" s="563"/>
      <c r="E141" s="563"/>
      <c r="F141" s="563"/>
      <c r="G141" s="563"/>
      <c r="H141" s="563"/>
    </row>
    <row r="142" spans="1:8" ht="12.75">
      <c r="A142" s="564"/>
      <c r="B142" s="563"/>
      <c r="C142" s="563"/>
      <c r="D142" s="563"/>
      <c r="E142" s="563"/>
      <c r="F142" s="563"/>
      <c r="G142" s="563"/>
      <c r="H142" s="563"/>
    </row>
    <row r="143" spans="1:8" ht="12.75">
      <c r="A143" s="564"/>
      <c r="B143" s="563"/>
      <c r="C143" s="563"/>
      <c r="D143" s="563"/>
      <c r="E143" s="563"/>
      <c r="F143" s="563"/>
      <c r="G143" s="563"/>
      <c r="H143" s="563"/>
    </row>
    <row r="144" spans="1:8" ht="12.75">
      <c r="A144" s="564"/>
      <c r="B144" s="563"/>
      <c r="C144" s="563"/>
      <c r="D144" s="563"/>
      <c r="E144" s="563"/>
      <c r="F144" s="563"/>
      <c r="G144" s="563"/>
      <c r="H144" s="563"/>
    </row>
    <row r="145" spans="1:8" ht="12.75">
      <c r="A145" s="564"/>
      <c r="B145" s="563"/>
      <c r="C145" s="563"/>
      <c r="D145" s="563"/>
      <c r="E145" s="563"/>
      <c r="F145" s="563"/>
      <c r="G145" s="563"/>
      <c r="H145" s="563"/>
    </row>
    <row r="146" spans="1:8" ht="12.75">
      <c r="A146" s="564"/>
      <c r="B146" s="563"/>
      <c r="C146" s="563"/>
      <c r="D146" s="563"/>
      <c r="E146" s="563"/>
      <c r="F146" s="563"/>
      <c r="G146" s="563"/>
      <c r="H146" s="563"/>
    </row>
    <row r="147" spans="1:8" ht="12.75">
      <c r="A147" s="564"/>
      <c r="B147" s="563"/>
      <c r="C147" s="563"/>
      <c r="D147" s="563"/>
      <c r="E147" s="563"/>
      <c r="F147" s="563"/>
      <c r="G147" s="563"/>
      <c r="H147" s="563"/>
    </row>
    <row r="148" spans="1:8" ht="12.75">
      <c r="A148" s="564"/>
      <c r="B148" s="563"/>
      <c r="C148" s="563"/>
      <c r="D148" s="563"/>
      <c r="E148" s="563"/>
      <c r="F148" s="563"/>
      <c r="G148" s="563"/>
      <c r="H148" s="563"/>
    </row>
    <row r="149" spans="1:8" ht="12.75">
      <c r="A149" s="564"/>
      <c r="B149" s="563"/>
      <c r="C149" s="563"/>
      <c r="D149" s="563"/>
      <c r="E149" s="563"/>
      <c r="F149" s="563"/>
      <c r="G149" s="563"/>
      <c r="H149" s="563"/>
    </row>
    <row r="150" spans="1:8" ht="12.75">
      <c r="A150" s="564"/>
      <c r="B150" s="563"/>
      <c r="C150" s="563"/>
      <c r="D150" s="563"/>
      <c r="E150" s="563"/>
      <c r="F150" s="563"/>
      <c r="G150" s="563"/>
      <c r="H150" s="563"/>
    </row>
    <row r="151" spans="1:8" ht="12.75">
      <c r="A151" s="564"/>
      <c r="B151" s="563"/>
      <c r="C151" s="563"/>
      <c r="D151" s="563"/>
      <c r="E151" s="563"/>
      <c r="F151" s="563"/>
      <c r="G151" s="563"/>
      <c r="H151" s="563"/>
    </row>
    <row r="152" spans="1:8" ht="12.75">
      <c r="A152" s="564"/>
      <c r="B152" s="563"/>
      <c r="C152" s="563"/>
      <c r="D152" s="563"/>
      <c r="E152" s="563"/>
      <c r="F152" s="563"/>
      <c r="G152" s="563"/>
      <c r="H152" s="563"/>
    </row>
    <row r="153" spans="1:8" ht="12.75">
      <c r="A153" s="564"/>
      <c r="B153" s="563"/>
      <c r="C153" s="563"/>
      <c r="D153" s="563"/>
      <c r="E153" s="563"/>
      <c r="F153" s="563"/>
      <c r="G153" s="563"/>
      <c r="H153" s="563"/>
    </row>
    <row r="154" spans="1:8" ht="12.75">
      <c r="A154" s="564"/>
      <c r="B154" s="563"/>
      <c r="C154" s="563"/>
      <c r="D154" s="563"/>
      <c r="E154" s="563"/>
      <c r="F154" s="563"/>
      <c r="G154" s="563"/>
      <c r="H154" s="563"/>
    </row>
    <row r="155" spans="1:8" ht="12.75">
      <c r="A155" s="564"/>
      <c r="B155" s="563"/>
      <c r="C155" s="563"/>
      <c r="D155" s="563"/>
      <c r="E155" s="563"/>
      <c r="F155" s="563"/>
      <c r="G155" s="563"/>
      <c r="H155" s="563"/>
    </row>
    <row r="156" spans="1:8" ht="12.75">
      <c r="A156" s="564"/>
      <c r="B156" s="563"/>
      <c r="C156" s="563"/>
      <c r="D156" s="563"/>
      <c r="E156" s="563"/>
      <c r="F156" s="563"/>
      <c r="G156" s="563"/>
      <c r="H156" s="563"/>
    </row>
    <row r="157" spans="1:8" ht="12.75">
      <c r="A157" s="564"/>
      <c r="B157" s="563"/>
      <c r="C157" s="563"/>
      <c r="D157" s="563"/>
      <c r="E157" s="563"/>
      <c r="F157" s="563"/>
      <c r="G157" s="563"/>
      <c r="H157" s="563"/>
    </row>
    <row r="158" spans="1:8" ht="12.75">
      <c r="A158" s="564"/>
      <c r="B158" s="563"/>
      <c r="C158" s="563"/>
      <c r="D158" s="563"/>
      <c r="E158" s="563"/>
      <c r="F158" s="563"/>
      <c r="G158" s="563"/>
      <c r="H158" s="563"/>
    </row>
    <row r="159" spans="1:8" ht="12.75">
      <c r="A159" s="564"/>
      <c r="B159" s="563"/>
      <c r="C159" s="563"/>
      <c r="D159" s="563"/>
      <c r="E159" s="563"/>
      <c r="F159" s="563"/>
      <c r="G159" s="563"/>
      <c r="H159" s="563"/>
    </row>
    <row r="160" spans="1:8" ht="12.75">
      <c r="A160" s="564"/>
      <c r="B160" s="563"/>
      <c r="C160" s="563"/>
      <c r="D160" s="563"/>
      <c r="E160" s="563"/>
      <c r="F160" s="563"/>
      <c r="G160" s="563"/>
      <c r="H160" s="563"/>
    </row>
    <row r="161" spans="1:8" ht="12.75">
      <c r="A161" s="564"/>
      <c r="B161" s="563"/>
      <c r="C161" s="563"/>
      <c r="D161" s="563"/>
      <c r="E161" s="563"/>
      <c r="F161" s="563"/>
      <c r="G161" s="563"/>
      <c r="H161" s="563"/>
    </row>
    <row r="162" spans="1:8" ht="12.75">
      <c r="A162" s="564"/>
      <c r="B162" s="563"/>
      <c r="C162" s="563"/>
      <c r="D162" s="563"/>
      <c r="E162" s="563"/>
      <c r="F162" s="563"/>
      <c r="G162" s="563"/>
      <c r="H162" s="563"/>
    </row>
    <row r="163" spans="1:8" ht="12.75">
      <c r="A163" s="564"/>
      <c r="B163" s="563"/>
      <c r="C163" s="563"/>
      <c r="D163" s="563"/>
      <c r="E163" s="563"/>
      <c r="F163" s="563"/>
      <c r="G163" s="563"/>
      <c r="H163" s="563"/>
    </row>
    <row r="164" spans="1:8" ht="12.75">
      <c r="A164" s="564"/>
      <c r="B164" s="563"/>
      <c r="C164" s="563"/>
      <c r="D164" s="563"/>
      <c r="E164" s="563"/>
      <c r="F164" s="563"/>
      <c r="G164" s="563"/>
      <c r="H164" s="563"/>
    </row>
    <row r="165" spans="1:8" ht="12.75">
      <c r="A165" s="564"/>
      <c r="B165" s="563"/>
      <c r="C165" s="563"/>
      <c r="D165" s="563"/>
      <c r="E165" s="563"/>
      <c r="F165" s="563"/>
      <c r="G165" s="563"/>
      <c r="H165" s="563"/>
    </row>
    <row r="166" spans="1:8" ht="12.75">
      <c r="A166" s="564"/>
      <c r="B166" s="563"/>
      <c r="C166" s="563"/>
      <c r="D166" s="563"/>
      <c r="E166" s="563"/>
      <c r="F166" s="563"/>
      <c r="G166" s="563"/>
      <c r="H166" s="563"/>
    </row>
    <row r="167" spans="1:8" ht="12.75">
      <c r="A167" s="564"/>
      <c r="B167" s="563"/>
      <c r="C167" s="563"/>
      <c r="D167" s="563"/>
      <c r="E167" s="563"/>
      <c r="F167" s="563"/>
      <c r="G167" s="563"/>
      <c r="H167" s="563"/>
    </row>
    <row r="168" spans="1:8" ht="12.75">
      <c r="A168" s="564"/>
      <c r="B168" s="563"/>
      <c r="C168" s="563"/>
      <c r="D168" s="563"/>
      <c r="E168" s="563"/>
      <c r="F168" s="563"/>
      <c r="G168" s="563"/>
      <c r="H168" s="563"/>
    </row>
    <row r="169" spans="1:8" ht="12.75">
      <c r="A169" s="564"/>
      <c r="B169" s="563"/>
      <c r="C169" s="563"/>
      <c r="D169" s="563"/>
      <c r="E169" s="563"/>
      <c r="F169" s="563"/>
      <c r="G169" s="563"/>
      <c r="H169" s="563"/>
    </row>
    <row r="170" spans="1:8" ht="12.75">
      <c r="A170" s="564"/>
      <c r="B170" s="563"/>
      <c r="C170" s="563"/>
      <c r="D170" s="563"/>
      <c r="E170" s="563"/>
      <c r="F170" s="563"/>
      <c r="G170" s="563"/>
      <c r="H170" s="563"/>
    </row>
    <row r="171" spans="1:8" ht="12.75">
      <c r="A171" s="564"/>
      <c r="B171" s="563"/>
      <c r="C171" s="563"/>
      <c r="D171" s="563"/>
      <c r="E171" s="563"/>
      <c r="F171" s="563"/>
      <c r="G171" s="563"/>
      <c r="H171" s="563"/>
    </row>
    <row r="172" spans="1:8" ht="12.75">
      <c r="A172" s="564"/>
      <c r="B172" s="563"/>
      <c r="C172" s="563"/>
      <c r="D172" s="563"/>
      <c r="E172" s="563"/>
      <c r="F172" s="563"/>
      <c r="G172" s="563"/>
      <c r="H172" s="563"/>
    </row>
    <row r="173" spans="1:8" ht="12.75">
      <c r="A173" s="564"/>
      <c r="B173" s="563"/>
      <c r="C173" s="563"/>
      <c r="D173" s="563"/>
      <c r="E173" s="563"/>
      <c r="F173" s="563"/>
      <c r="G173" s="563"/>
      <c r="H173" s="563"/>
    </row>
    <row r="174" spans="1:8" ht="12.75">
      <c r="A174" s="564"/>
      <c r="B174" s="563"/>
      <c r="C174" s="563"/>
      <c r="D174" s="563"/>
      <c r="E174" s="563"/>
      <c r="F174" s="563"/>
      <c r="G174" s="563"/>
      <c r="H174" s="563"/>
    </row>
    <row r="175" spans="1:8" ht="12.75">
      <c r="A175" s="564"/>
      <c r="B175" s="563"/>
      <c r="C175" s="563"/>
      <c r="D175" s="563"/>
      <c r="E175" s="563"/>
      <c r="F175" s="563"/>
      <c r="G175" s="563"/>
      <c r="H175" s="563"/>
    </row>
    <row r="176" spans="1:8" ht="12.75">
      <c r="A176" s="564"/>
      <c r="B176" s="563"/>
      <c r="C176" s="563"/>
      <c r="D176" s="563"/>
      <c r="E176" s="563"/>
      <c r="F176" s="563"/>
      <c r="G176" s="563"/>
      <c r="H176" s="563"/>
    </row>
    <row r="177" spans="1:8" ht="12.75">
      <c r="A177" s="564"/>
      <c r="B177" s="563"/>
      <c r="C177" s="563"/>
      <c r="D177" s="563"/>
      <c r="E177" s="563"/>
      <c r="F177" s="563"/>
      <c r="G177" s="563"/>
      <c r="H177" s="563"/>
    </row>
    <row r="178" spans="1:8" ht="12.75">
      <c r="A178" s="564"/>
      <c r="B178" s="563"/>
      <c r="C178" s="563"/>
      <c r="D178" s="563"/>
      <c r="E178" s="563"/>
      <c r="F178" s="563"/>
      <c r="G178" s="563"/>
      <c r="H178" s="563"/>
    </row>
    <row r="179" spans="1:8" ht="12.75">
      <c r="A179" s="564"/>
      <c r="B179" s="563"/>
      <c r="C179" s="563"/>
      <c r="D179" s="563"/>
      <c r="E179" s="563"/>
      <c r="F179" s="563"/>
      <c r="G179" s="563"/>
      <c r="H179" s="563"/>
    </row>
    <row r="180" spans="1:8" ht="12.75">
      <c r="A180" s="564"/>
      <c r="B180" s="563"/>
      <c r="C180" s="563"/>
      <c r="D180" s="563"/>
      <c r="E180" s="563"/>
      <c r="F180" s="563"/>
      <c r="G180" s="563"/>
      <c r="H180" s="563"/>
    </row>
    <row r="181" spans="1:8" ht="12.75">
      <c r="A181" s="564"/>
      <c r="B181" s="563"/>
      <c r="C181" s="563"/>
      <c r="D181" s="563"/>
      <c r="E181" s="563"/>
      <c r="F181" s="563"/>
      <c r="G181" s="563"/>
      <c r="H181" s="563"/>
    </row>
    <row r="182" spans="1:8" ht="12.75">
      <c r="A182" s="564"/>
      <c r="B182" s="563"/>
      <c r="C182" s="563"/>
      <c r="D182" s="563"/>
      <c r="E182" s="563"/>
      <c r="F182" s="563"/>
      <c r="G182" s="563"/>
      <c r="H182" s="563"/>
    </row>
    <row r="183" spans="1:8" ht="12.75">
      <c r="A183" s="564"/>
      <c r="B183" s="563"/>
      <c r="C183" s="563"/>
      <c r="D183" s="563"/>
      <c r="E183" s="563"/>
      <c r="F183" s="563"/>
      <c r="G183" s="563"/>
      <c r="H183" s="563"/>
    </row>
    <row r="184" spans="1:8" ht="12.75">
      <c r="A184" s="564"/>
      <c r="B184" s="563"/>
      <c r="C184" s="563"/>
      <c r="D184" s="563"/>
      <c r="E184" s="563"/>
      <c r="F184" s="563"/>
      <c r="G184" s="563"/>
      <c r="H184" s="563"/>
    </row>
    <row r="185" spans="1:8" ht="12.75">
      <c r="A185" s="564"/>
      <c r="B185" s="563"/>
      <c r="C185" s="563"/>
      <c r="D185" s="563"/>
      <c r="E185" s="563"/>
      <c r="F185" s="563"/>
      <c r="G185" s="563"/>
      <c r="H185" s="563"/>
    </row>
    <row r="186" spans="1:8" ht="12.75">
      <c r="A186" s="564"/>
      <c r="B186" s="563"/>
      <c r="C186" s="563"/>
      <c r="D186" s="563"/>
      <c r="E186" s="563"/>
      <c r="F186" s="563"/>
      <c r="G186" s="563"/>
      <c r="H186" s="563"/>
    </row>
    <row r="187" spans="1:8" ht="12.75">
      <c r="A187" s="564"/>
      <c r="B187" s="563"/>
      <c r="C187" s="563"/>
      <c r="D187" s="563"/>
      <c r="E187" s="563"/>
      <c r="F187" s="563"/>
      <c r="G187" s="563"/>
      <c r="H187" s="563"/>
    </row>
    <row r="188" spans="1:8" ht="12.75">
      <c r="A188" s="564"/>
      <c r="B188" s="563"/>
      <c r="C188" s="563"/>
      <c r="D188" s="563"/>
      <c r="E188" s="563"/>
      <c r="F188" s="563"/>
      <c r="G188" s="563"/>
      <c r="H188" s="563"/>
    </row>
    <row r="189" spans="1:8" ht="12.75">
      <c r="A189" s="564"/>
      <c r="B189" s="563"/>
      <c r="C189" s="563"/>
      <c r="D189" s="563"/>
      <c r="E189" s="563"/>
      <c r="F189" s="563"/>
      <c r="G189" s="563"/>
      <c r="H189" s="563"/>
    </row>
    <row r="190" spans="1:8" ht="12.75">
      <c r="A190" s="564"/>
      <c r="B190" s="563"/>
      <c r="C190" s="563"/>
      <c r="D190" s="563"/>
      <c r="E190" s="563"/>
      <c r="F190" s="563"/>
      <c r="G190" s="563"/>
      <c r="H190" s="563"/>
    </row>
    <row r="191" spans="1:8" ht="12.75">
      <c r="A191" s="564"/>
      <c r="B191" s="563"/>
      <c r="C191" s="563"/>
      <c r="D191" s="563"/>
      <c r="E191" s="563"/>
      <c r="F191" s="563"/>
      <c r="G191" s="563"/>
      <c r="H191" s="563"/>
    </row>
    <row r="192" spans="1:8" ht="12.75">
      <c r="A192" s="564"/>
      <c r="B192" s="563"/>
      <c r="C192" s="563"/>
      <c r="D192" s="563"/>
      <c r="E192" s="563"/>
      <c r="F192" s="563"/>
      <c r="G192" s="563"/>
      <c r="H192" s="563"/>
    </row>
    <row r="193" spans="1:8" ht="12.75">
      <c r="A193" s="564"/>
      <c r="B193" s="563"/>
      <c r="C193" s="563"/>
      <c r="D193" s="563"/>
      <c r="E193" s="563"/>
      <c r="F193" s="563"/>
      <c r="G193" s="563"/>
      <c r="H193" s="563"/>
    </row>
    <row r="194" spans="1:8" ht="12.75">
      <c r="A194" s="564"/>
      <c r="B194" s="563"/>
      <c r="C194" s="563"/>
      <c r="D194" s="563"/>
      <c r="E194" s="563"/>
      <c r="F194" s="563"/>
      <c r="G194" s="563"/>
      <c r="H194" s="563"/>
    </row>
    <row r="195" spans="1:8" ht="12.75">
      <c r="A195" s="564"/>
      <c r="B195" s="563"/>
      <c r="C195" s="563"/>
      <c r="D195" s="563"/>
      <c r="E195" s="563"/>
      <c r="F195" s="563"/>
      <c r="G195" s="563"/>
      <c r="H195" s="563"/>
    </row>
    <row r="196" spans="1:8" ht="12.75">
      <c r="A196" s="564"/>
      <c r="B196" s="563"/>
      <c r="C196" s="563"/>
      <c r="D196" s="563"/>
      <c r="E196" s="563"/>
      <c r="F196" s="563"/>
      <c r="G196" s="563"/>
      <c r="H196" s="563"/>
    </row>
    <row r="197" spans="1:8" ht="12.75">
      <c r="A197" s="564"/>
      <c r="B197" s="563"/>
      <c r="C197" s="563"/>
      <c r="D197" s="563"/>
      <c r="E197" s="563"/>
      <c r="F197" s="563"/>
      <c r="G197" s="563"/>
      <c r="H197" s="563"/>
    </row>
    <row r="198" spans="1:8" ht="12.75">
      <c r="A198" s="564"/>
      <c r="B198" s="563"/>
      <c r="C198" s="563"/>
      <c r="D198" s="563"/>
      <c r="E198" s="563"/>
      <c r="F198" s="563"/>
      <c r="G198" s="563"/>
      <c r="H198" s="563"/>
    </row>
    <row r="199" spans="1:8" ht="12.75">
      <c r="A199" s="564"/>
      <c r="B199" s="563"/>
      <c r="C199" s="563"/>
      <c r="D199" s="563"/>
      <c r="E199" s="563"/>
      <c r="F199" s="563"/>
      <c r="G199" s="563"/>
      <c r="H199" s="563"/>
    </row>
    <row r="200" spans="1:8" ht="12.75">
      <c r="A200" s="564"/>
      <c r="B200" s="563"/>
      <c r="C200" s="563"/>
      <c r="D200" s="563"/>
      <c r="E200" s="563"/>
      <c r="F200" s="563"/>
      <c r="G200" s="563"/>
      <c r="H200" s="563"/>
    </row>
    <row r="201" spans="1:8" ht="12.75">
      <c r="A201" s="564"/>
      <c r="B201" s="563"/>
      <c r="C201" s="563"/>
      <c r="D201" s="563"/>
      <c r="E201" s="563"/>
      <c r="F201" s="563"/>
      <c r="G201" s="563"/>
      <c r="H201" s="563"/>
    </row>
    <row r="202" spans="1:8" ht="12.75">
      <c r="A202" s="564"/>
      <c r="B202" s="563"/>
      <c r="C202" s="563"/>
      <c r="D202" s="563"/>
      <c r="E202" s="563"/>
      <c r="F202" s="563"/>
      <c r="G202" s="563"/>
      <c r="H202" s="563"/>
    </row>
    <row r="203" spans="1:8" ht="12.75">
      <c r="A203" s="564"/>
      <c r="B203" s="563"/>
      <c r="C203" s="563"/>
      <c r="D203" s="563"/>
      <c r="E203" s="563"/>
      <c r="F203" s="563"/>
      <c r="G203" s="563"/>
      <c r="H203" s="563"/>
    </row>
    <row r="204" spans="1:8" ht="12.75">
      <c r="A204" s="564"/>
      <c r="B204" s="563"/>
      <c r="C204" s="563"/>
      <c r="D204" s="563"/>
      <c r="E204" s="563"/>
      <c r="F204" s="563"/>
      <c r="G204" s="563"/>
      <c r="H204" s="563"/>
    </row>
    <row r="205" spans="1:8" ht="12.75">
      <c r="A205" s="564"/>
      <c r="B205" s="563"/>
      <c r="C205" s="563"/>
      <c r="D205" s="563"/>
      <c r="E205" s="563"/>
      <c r="F205" s="563"/>
      <c r="G205" s="563"/>
      <c r="H205" s="563"/>
    </row>
    <row r="206" spans="1:8" ht="12.75">
      <c r="A206" s="564"/>
      <c r="B206" s="563"/>
      <c r="C206" s="563"/>
      <c r="D206" s="563"/>
      <c r="E206" s="563"/>
      <c r="F206" s="563"/>
      <c r="G206" s="563"/>
      <c r="H206" s="563"/>
    </row>
    <row r="207" spans="1:8" ht="12.75">
      <c r="A207" s="564"/>
      <c r="B207" s="563"/>
      <c r="C207" s="563"/>
      <c r="D207" s="563"/>
      <c r="E207" s="563"/>
      <c r="F207" s="563"/>
      <c r="G207" s="563"/>
      <c r="H207" s="563"/>
    </row>
    <row r="208" spans="1:8" ht="12.75">
      <c r="A208" s="564"/>
      <c r="B208" s="563"/>
      <c r="C208" s="563"/>
      <c r="D208" s="563"/>
      <c r="E208" s="563"/>
      <c r="F208" s="563"/>
      <c r="G208" s="563"/>
      <c r="H208" s="563"/>
    </row>
    <row r="209" spans="1:8" ht="12.75">
      <c r="A209" s="564"/>
      <c r="B209" s="563"/>
      <c r="C209" s="563"/>
      <c r="D209" s="563"/>
      <c r="E209" s="563"/>
      <c r="F209" s="563"/>
      <c r="G209" s="563"/>
      <c r="H209" s="563"/>
    </row>
    <row r="210" spans="1:8" ht="12.75">
      <c r="A210" s="564"/>
      <c r="B210" s="563"/>
      <c r="C210" s="563"/>
      <c r="D210" s="563"/>
      <c r="E210" s="563"/>
      <c r="F210" s="563"/>
      <c r="G210" s="563"/>
      <c r="H210" s="563"/>
    </row>
    <row r="211" spans="1:8" ht="12.75">
      <c r="A211" s="564"/>
      <c r="B211" s="563"/>
      <c r="C211" s="563"/>
      <c r="D211" s="563"/>
      <c r="E211" s="563"/>
      <c r="F211" s="563"/>
      <c r="G211" s="563"/>
      <c r="H211" s="563"/>
    </row>
    <row r="212" spans="1:8" ht="12.75">
      <c r="A212" s="564"/>
      <c r="B212" s="563"/>
      <c r="C212" s="563"/>
      <c r="D212" s="563"/>
      <c r="E212" s="563"/>
      <c r="F212" s="563"/>
      <c r="G212" s="563"/>
      <c r="H212" s="563"/>
    </row>
    <row r="213" spans="1:8" ht="12.75">
      <c r="A213" s="564"/>
      <c r="B213" s="563"/>
      <c r="C213" s="563"/>
      <c r="D213" s="563"/>
      <c r="E213" s="563"/>
      <c r="F213" s="563"/>
      <c r="G213" s="563"/>
      <c r="H213" s="563"/>
    </row>
    <row r="214" spans="1:8" ht="12.75">
      <c r="A214" s="564"/>
      <c r="B214" s="563"/>
      <c r="C214" s="563"/>
      <c r="D214" s="563"/>
      <c r="E214" s="563"/>
      <c r="F214" s="563"/>
      <c r="G214" s="563"/>
      <c r="H214" s="563"/>
    </row>
    <row r="215" spans="1:8" ht="12.75">
      <c r="A215" s="564"/>
      <c r="B215" s="563"/>
      <c r="C215" s="563"/>
      <c r="D215" s="563"/>
      <c r="E215" s="563"/>
      <c r="F215" s="563"/>
      <c r="G215" s="563"/>
      <c r="H215" s="563"/>
    </row>
    <row r="216" spans="1:8" ht="12.75">
      <c r="A216" s="564"/>
      <c r="B216" s="563"/>
      <c r="C216" s="563"/>
      <c r="D216" s="563"/>
      <c r="E216" s="563"/>
      <c r="F216" s="563"/>
      <c r="G216" s="563"/>
      <c r="H216" s="563"/>
    </row>
    <row r="217" spans="1:8" ht="12.75">
      <c r="A217" s="564"/>
      <c r="B217" s="563"/>
      <c r="C217" s="563"/>
      <c r="D217" s="563"/>
      <c r="E217" s="563"/>
      <c r="F217" s="563"/>
      <c r="G217" s="563"/>
      <c r="H217" s="563"/>
    </row>
    <row r="218" spans="1:8" ht="12.75">
      <c r="A218" s="564"/>
      <c r="B218" s="563"/>
      <c r="C218" s="563"/>
      <c r="D218" s="563"/>
      <c r="E218" s="563"/>
      <c r="F218" s="563"/>
      <c r="G218" s="563"/>
      <c r="H218" s="563"/>
    </row>
    <row r="219" spans="1:8" ht="12.75">
      <c r="A219" s="564"/>
      <c r="B219" s="563"/>
      <c r="C219" s="563"/>
      <c r="D219" s="563"/>
      <c r="E219" s="563"/>
      <c r="F219" s="563"/>
      <c r="G219" s="563"/>
      <c r="H219" s="563"/>
    </row>
    <row r="220" spans="1:8" ht="12.75">
      <c r="A220" s="564"/>
      <c r="B220" s="563"/>
      <c r="C220" s="563"/>
      <c r="D220" s="563"/>
      <c r="E220" s="563"/>
      <c r="F220" s="563"/>
      <c r="G220" s="563"/>
      <c r="H220" s="563"/>
    </row>
    <row r="221" spans="1:8" ht="12.75">
      <c r="A221" s="564"/>
      <c r="B221" s="563"/>
      <c r="C221" s="563"/>
      <c r="D221" s="563"/>
      <c r="E221" s="563"/>
      <c r="F221" s="563"/>
      <c r="G221" s="563"/>
      <c r="H221" s="563"/>
    </row>
    <row r="222" spans="1:8" ht="12.75">
      <c r="A222" s="564"/>
      <c r="B222" s="563"/>
      <c r="C222" s="563"/>
      <c r="D222" s="563"/>
      <c r="E222" s="563"/>
      <c r="F222" s="563"/>
      <c r="G222" s="563"/>
      <c r="H222" s="563"/>
    </row>
    <row r="223" spans="1:8" ht="12.75">
      <c r="A223" s="564"/>
      <c r="B223" s="563"/>
      <c r="C223" s="563"/>
      <c r="D223" s="563"/>
      <c r="E223" s="563"/>
      <c r="F223" s="563"/>
      <c r="G223" s="563"/>
      <c r="H223" s="563"/>
    </row>
    <row r="224" spans="1:8" ht="12.75">
      <c r="A224" s="564"/>
      <c r="B224" s="563"/>
      <c r="C224" s="563"/>
      <c r="D224" s="563"/>
      <c r="E224" s="563"/>
      <c r="F224" s="563"/>
      <c r="G224" s="563"/>
      <c r="H224" s="563"/>
    </row>
    <row r="225" spans="1:8" ht="12.75">
      <c r="A225" s="564"/>
      <c r="B225" s="563"/>
      <c r="C225" s="563"/>
      <c r="D225" s="563"/>
      <c r="E225" s="563"/>
      <c r="F225" s="563"/>
      <c r="G225" s="563"/>
      <c r="H225" s="563"/>
    </row>
    <row r="226" spans="1:8" ht="12.75">
      <c r="A226" s="564"/>
      <c r="B226" s="563"/>
      <c r="C226" s="563"/>
      <c r="D226" s="563"/>
      <c r="E226" s="563"/>
      <c r="F226" s="563"/>
      <c r="G226" s="563"/>
      <c r="H226" s="563"/>
    </row>
    <row r="227" spans="1:8" ht="12.75">
      <c r="A227" s="564"/>
      <c r="B227" s="563"/>
      <c r="C227" s="563"/>
      <c r="D227" s="563"/>
      <c r="E227" s="563"/>
      <c r="F227" s="563"/>
      <c r="G227" s="563"/>
      <c r="H227" s="563"/>
    </row>
    <row r="228" spans="1:8" ht="12.75">
      <c r="A228" s="564"/>
      <c r="B228" s="563"/>
      <c r="C228" s="563"/>
      <c r="D228" s="563"/>
      <c r="E228" s="563"/>
      <c r="F228" s="563"/>
      <c r="G228" s="563"/>
      <c r="H228" s="563"/>
    </row>
    <row r="229" spans="1:8" ht="12.75">
      <c r="A229" s="564"/>
      <c r="B229" s="563"/>
      <c r="C229" s="563"/>
      <c r="D229" s="563"/>
      <c r="E229" s="563"/>
      <c r="F229" s="563"/>
      <c r="G229" s="563"/>
      <c r="H229" s="563"/>
    </row>
    <row r="230" spans="1:8" ht="12.75">
      <c r="A230" s="564"/>
      <c r="B230" s="563"/>
      <c r="C230" s="563"/>
      <c r="D230" s="563"/>
      <c r="E230" s="563"/>
      <c r="F230" s="563"/>
      <c r="G230" s="563"/>
      <c r="H230" s="563"/>
    </row>
    <row r="231" spans="1:8" ht="12.75">
      <c r="A231" s="564"/>
      <c r="B231" s="563"/>
      <c r="C231" s="563"/>
      <c r="D231" s="563"/>
      <c r="E231" s="563"/>
      <c r="F231" s="563"/>
      <c r="G231" s="563"/>
      <c r="H231" s="563"/>
    </row>
    <row r="232" spans="1:8" ht="12.75">
      <c r="A232" s="564"/>
      <c r="B232" s="563"/>
      <c r="C232" s="563"/>
      <c r="D232" s="563"/>
      <c r="E232" s="563"/>
      <c r="F232" s="563"/>
      <c r="G232" s="563"/>
      <c r="H232" s="563"/>
    </row>
    <row r="233" spans="1:8" ht="12.75">
      <c r="A233" s="564"/>
      <c r="B233" s="563"/>
      <c r="C233" s="563"/>
      <c r="D233" s="563"/>
      <c r="E233" s="563"/>
      <c r="F233" s="563"/>
      <c r="G233" s="563"/>
      <c r="H233" s="563"/>
    </row>
    <row r="234" spans="1:8" ht="12.75">
      <c r="A234" s="564"/>
      <c r="B234" s="563"/>
      <c r="C234" s="563"/>
      <c r="D234" s="563"/>
      <c r="E234" s="563"/>
      <c r="F234" s="563"/>
      <c r="G234" s="563"/>
      <c r="H234" s="563"/>
    </row>
    <row r="235" spans="1:8" ht="12.75">
      <c r="A235" s="564"/>
      <c r="B235" s="563"/>
      <c r="C235" s="563"/>
      <c r="D235" s="563"/>
      <c r="E235" s="563"/>
      <c r="F235" s="563"/>
      <c r="G235" s="563"/>
      <c r="H235" s="563"/>
    </row>
    <row r="236" spans="1:8" ht="12.75">
      <c r="A236" s="564"/>
      <c r="B236" s="563"/>
      <c r="C236" s="563"/>
      <c r="D236" s="563"/>
      <c r="E236" s="563"/>
      <c r="F236" s="563"/>
      <c r="G236" s="563"/>
      <c r="H236" s="563"/>
    </row>
    <row r="237" spans="1:8" ht="12.75">
      <c r="A237" s="564"/>
      <c r="B237" s="563"/>
      <c r="C237" s="563"/>
      <c r="D237" s="563"/>
      <c r="E237" s="563"/>
      <c r="F237" s="563"/>
      <c r="G237" s="563"/>
      <c r="H237" s="563"/>
    </row>
    <row r="238" spans="1:8" ht="12.75">
      <c r="A238" s="564"/>
      <c r="B238" s="563"/>
      <c r="C238" s="563"/>
      <c r="D238" s="563"/>
      <c r="E238" s="563"/>
      <c r="F238" s="563"/>
      <c r="G238" s="563"/>
      <c r="H238" s="563"/>
    </row>
    <row r="239" spans="1:8" ht="12.75">
      <c r="A239" s="564"/>
      <c r="B239" s="563"/>
      <c r="C239" s="563"/>
      <c r="D239" s="563"/>
      <c r="E239" s="563"/>
      <c r="F239" s="563"/>
      <c r="G239" s="563"/>
      <c r="H239" s="563"/>
    </row>
    <row r="240" spans="1:8" ht="12.75">
      <c r="A240" s="564"/>
      <c r="B240" s="563"/>
      <c r="C240" s="563"/>
      <c r="D240" s="563"/>
      <c r="E240" s="563"/>
      <c r="F240" s="563"/>
      <c r="G240" s="563"/>
      <c r="H240" s="563"/>
    </row>
    <row r="241" spans="1:8" ht="12.75">
      <c r="A241" s="564"/>
      <c r="B241" s="563"/>
      <c r="C241" s="563"/>
      <c r="D241" s="563"/>
      <c r="E241" s="563"/>
      <c r="F241" s="563"/>
      <c r="G241" s="563"/>
      <c r="H241" s="563"/>
    </row>
    <row r="242" spans="1:8" ht="12.75">
      <c r="A242" s="564"/>
      <c r="B242" s="563"/>
      <c r="C242" s="563"/>
      <c r="D242" s="563"/>
      <c r="E242" s="563"/>
      <c r="F242" s="563"/>
      <c r="G242" s="563"/>
      <c r="H242" s="563"/>
    </row>
    <row r="243" spans="1:8" ht="12.75">
      <c r="A243" s="564"/>
      <c r="B243" s="563"/>
      <c r="C243" s="563"/>
      <c r="D243" s="563"/>
      <c r="E243" s="563"/>
      <c r="F243" s="563"/>
      <c r="G243" s="563"/>
      <c r="H243" s="563"/>
    </row>
    <row r="244" spans="1:8" ht="12.75">
      <c r="A244" s="564"/>
      <c r="B244" s="563"/>
      <c r="C244" s="563"/>
      <c r="D244" s="563"/>
      <c r="E244" s="563"/>
      <c r="F244" s="563"/>
      <c r="G244" s="563"/>
      <c r="H244" s="563"/>
    </row>
    <row r="245" spans="1:8" ht="12.75">
      <c r="A245" s="564"/>
      <c r="B245" s="563"/>
      <c r="C245" s="563"/>
      <c r="D245" s="563"/>
      <c r="E245" s="563"/>
      <c r="F245" s="563"/>
      <c r="G245" s="563"/>
      <c r="H245" s="563"/>
    </row>
    <row r="246" spans="1:8" ht="12.75">
      <c r="A246" s="564"/>
      <c r="B246" s="563"/>
      <c r="C246" s="563"/>
      <c r="D246" s="563"/>
      <c r="E246" s="563"/>
      <c r="F246" s="563"/>
      <c r="G246" s="563"/>
      <c r="H246" s="563"/>
    </row>
    <row r="247" spans="1:8" ht="12.75">
      <c r="A247" s="564"/>
      <c r="B247" s="563"/>
      <c r="C247" s="563"/>
      <c r="D247" s="563"/>
      <c r="E247" s="563"/>
      <c r="F247" s="563"/>
      <c r="G247" s="563"/>
      <c r="H247" s="563"/>
    </row>
    <row r="248" spans="1:8" ht="12.75">
      <c r="A248" s="564"/>
      <c r="B248" s="563"/>
      <c r="C248" s="563"/>
      <c r="D248" s="563"/>
      <c r="E248" s="563"/>
      <c r="F248" s="563"/>
      <c r="G248" s="563"/>
      <c r="H248" s="563"/>
    </row>
    <row r="249" spans="1:8" ht="12.75">
      <c r="A249" s="564"/>
      <c r="B249" s="563"/>
      <c r="C249" s="563"/>
      <c r="D249" s="563"/>
      <c r="E249" s="563"/>
      <c r="F249" s="563"/>
      <c r="G249" s="563"/>
      <c r="H249" s="563"/>
    </row>
    <row r="250" spans="1:8" ht="12.75">
      <c r="A250" s="564"/>
      <c r="B250" s="563"/>
      <c r="C250" s="563"/>
      <c r="D250" s="563"/>
      <c r="E250" s="563"/>
      <c r="F250" s="563"/>
      <c r="G250" s="563"/>
      <c r="H250" s="563"/>
    </row>
    <row r="251" spans="1:8" ht="12.75">
      <c r="A251" s="564"/>
      <c r="B251" s="563"/>
      <c r="C251" s="563"/>
      <c r="D251" s="563"/>
      <c r="E251" s="563"/>
      <c r="F251" s="563"/>
      <c r="G251" s="563"/>
      <c r="H251" s="563"/>
    </row>
    <row r="252" spans="1:8" ht="12.75">
      <c r="A252" s="564"/>
      <c r="B252" s="563"/>
      <c r="C252" s="563"/>
      <c r="D252" s="563"/>
      <c r="E252" s="563"/>
      <c r="F252" s="563"/>
      <c r="G252" s="563"/>
      <c r="H252" s="563"/>
    </row>
    <row r="253" spans="1:8" ht="12.75">
      <c r="A253" s="564"/>
      <c r="B253" s="563"/>
      <c r="C253" s="563"/>
      <c r="D253" s="563"/>
      <c r="E253" s="563"/>
      <c r="F253" s="563"/>
      <c r="G253" s="563"/>
      <c r="H253" s="563"/>
    </row>
    <row r="254" spans="1:8" ht="12.75">
      <c r="A254" s="564"/>
      <c r="B254" s="563"/>
      <c r="C254" s="563"/>
      <c r="D254" s="563"/>
      <c r="E254" s="563"/>
      <c r="F254" s="563"/>
      <c r="G254" s="563"/>
      <c r="H254" s="563"/>
    </row>
    <row r="255" spans="1:8" ht="12.75">
      <c r="A255" s="564"/>
      <c r="B255" s="563"/>
      <c r="C255" s="563"/>
      <c r="D255" s="563"/>
      <c r="E255" s="563"/>
      <c r="F255" s="563"/>
      <c r="G255" s="563"/>
      <c r="H255" s="563"/>
    </row>
    <row r="256" spans="1:8" ht="12.75">
      <c r="A256" s="564"/>
      <c r="B256" s="563"/>
      <c r="C256" s="563"/>
      <c r="D256" s="563"/>
      <c r="E256" s="563"/>
      <c r="F256" s="563"/>
      <c r="G256" s="563"/>
      <c r="H256" s="563"/>
    </row>
    <row r="257" spans="1:8" ht="12.75">
      <c r="A257" s="564"/>
      <c r="B257" s="563"/>
      <c r="C257" s="563"/>
      <c r="D257" s="563"/>
      <c r="E257" s="563"/>
      <c r="F257" s="563"/>
      <c r="G257" s="563"/>
      <c r="H257" s="563"/>
    </row>
    <row r="258" spans="1:8" ht="12.75">
      <c r="A258" s="564"/>
      <c r="B258" s="563"/>
      <c r="C258" s="563"/>
      <c r="D258" s="563"/>
      <c r="E258" s="563"/>
      <c r="F258" s="563"/>
      <c r="G258" s="563"/>
      <c r="H258" s="563"/>
    </row>
    <row r="259" spans="1:8" ht="12.75">
      <c r="A259" s="564"/>
      <c r="B259" s="563"/>
      <c r="C259" s="563"/>
      <c r="D259" s="563"/>
      <c r="E259" s="563"/>
      <c r="F259" s="563"/>
      <c r="G259" s="563"/>
      <c r="H259" s="563"/>
    </row>
    <row r="260" spans="1:8" ht="12.75">
      <c r="A260" s="564"/>
      <c r="B260" s="563"/>
      <c r="C260" s="563"/>
      <c r="D260" s="563"/>
      <c r="E260" s="563"/>
      <c r="F260" s="563"/>
      <c r="G260" s="563"/>
      <c r="H260" s="563"/>
    </row>
    <row r="261" spans="1:8" ht="12.75">
      <c r="A261" s="564"/>
      <c r="B261" s="563"/>
      <c r="C261" s="563"/>
      <c r="D261" s="563"/>
      <c r="E261" s="563"/>
      <c r="F261" s="563"/>
      <c r="G261" s="563"/>
      <c r="H261" s="563"/>
    </row>
    <row r="262" spans="1:8" ht="12.75">
      <c r="A262" s="564"/>
      <c r="B262" s="563"/>
      <c r="C262" s="563"/>
      <c r="D262" s="563"/>
      <c r="E262" s="563"/>
      <c r="F262" s="563"/>
      <c r="G262" s="563"/>
      <c r="H262" s="563"/>
    </row>
    <row r="263" spans="1:8" ht="12.75">
      <c r="A263" s="564"/>
      <c r="B263" s="563"/>
      <c r="C263" s="563"/>
      <c r="D263" s="563"/>
      <c r="E263" s="563"/>
      <c r="F263" s="563"/>
      <c r="G263" s="563"/>
      <c r="H263" s="563"/>
    </row>
    <row r="264" spans="1:8" ht="12.75">
      <c r="A264" s="564"/>
      <c r="B264" s="563"/>
      <c r="C264" s="563"/>
      <c r="D264" s="563"/>
      <c r="E264" s="563"/>
      <c r="F264" s="563"/>
      <c r="G264" s="563"/>
      <c r="H264" s="563"/>
    </row>
    <row r="265" spans="1:8" ht="12.75">
      <c r="A265" s="564"/>
      <c r="B265" s="563"/>
      <c r="C265" s="563"/>
      <c r="D265" s="563"/>
      <c r="E265" s="563"/>
      <c r="F265" s="563"/>
      <c r="G265" s="563"/>
      <c r="H265" s="563"/>
    </row>
    <row r="266" spans="1:8" ht="12.75">
      <c r="A266" s="564"/>
      <c r="B266" s="563"/>
      <c r="C266" s="563"/>
      <c r="D266" s="563"/>
      <c r="E266" s="563"/>
      <c r="F266" s="563"/>
      <c r="G266" s="563"/>
      <c r="H266" s="563"/>
    </row>
    <row r="267" spans="1:8" ht="12.75">
      <c r="A267" s="564"/>
      <c r="B267" s="563"/>
      <c r="C267" s="563"/>
      <c r="D267" s="563"/>
      <c r="E267" s="563"/>
      <c r="F267" s="563"/>
      <c r="G267" s="563"/>
      <c r="H267" s="563"/>
    </row>
    <row r="268" spans="1:8" ht="12.75">
      <c r="A268" s="564"/>
      <c r="B268" s="563"/>
      <c r="C268" s="563"/>
      <c r="D268" s="563"/>
      <c r="E268" s="563"/>
      <c r="F268" s="563"/>
      <c r="G268" s="563"/>
      <c r="H268" s="563"/>
    </row>
    <row r="269" spans="1:8" ht="12.75">
      <c r="A269" s="564"/>
      <c r="B269" s="563"/>
      <c r="C269" s="563"/>
      <c r="D269" s="563"/>
      <c r="E269" s="563"/>
      <c r="F269" s="563"/>
      <c r="G269" s="563"/>
      <c r="H269" s="563"/>
    </row>
    <row r="270" spans="1:8" ht="12.75">
      <c r="A270" s="564"/>
      <c r="B270" s="563"/>
      <c r="C270" s="563"/>
      <c r="D270" s="563"/>
      <c r="E270" s="563"/>
      <c r="F270" s="563"/>
      <c r="G270" s="563"/>
      <c r="H270" s="563"/>
    </row>
    <row r="271" spans="1:8" ht="12.75">
      <c r="A271" s="564"/>
      <c r="B271" s="563"/>
      <c r="C271" s="563"/>
      <c r="D271" s="563"/>
      <c r="E271" s="563"/>
      <c r="F271" s="563"/>
      <c r="G271" s="563"/>
      <c r="H271" s="563"/>
    </row>
    <row r="272" spans="1:8" ht="12.75">
      <c r="A272" s="564"/>
      <c r="B272" s="563"/>
      <c r="C272" s="563"/>
      <c r="D272" s="563"/>
      <c r="E272" s="563"/>
      <c r="F272" s="563"/>
      <c r="G272" s="563"/>
      <c r="H272" s="563"/>
    </row>
    <row r="273" spans="1:8" ht="12.75">
      <c r="A273" s="564"/>
      <c r="B273" s="563"/>
      <c r="C273" s="563"/>
      <c r="D273" s="563"/>
      <c r="E273" s="563"/>
      <c r="F273" s="563"/>
      <c r="G273" s="563"/>
      <c r="H273" s="563"/>
    </row>
    <row r="274" spans="1:8" ht="12.75">
      <c r="A274" s="564"/>
      <c r="B274" s="563"/>
      <c r="C274" s="563"/>
      <c r="D274" s="563"/>
      <c r="E274" s="563"/>
      <c r="F274" s="563"/>
      <c r="G274" s="563"/>
      <c r="H274" s="563"/>
    </row>
    <row r="275" spans="1:8" ht="12.75">
      <c r="A275" s="564"/>
      <c r="B275" s="563"/>
      <c r="C275" s="563"/>
      <c r="D275" s="563"/>
      <c r="E275" s="563"/>
      <c r="F275" s="563"/>
      <c r="G275" s="563"/>
      <c r="H275" s="563"/>
    </row>
    <row r="276" spans="1:8" ht="12.75">
      <c r="A276" s="564"/>
      <c r="B276" s="563"/>
      <c r="C276" s="563"/>
      <c r="D276" s="563"/>
      <c r="E276" s="563"/>
      <c r="F276" s="563"/>
      <c r="G276" s="563"/>
      <c r="H276" s="563"/>
    </row>
    <row r="277" spans="1:8" ht="12.75">
      <c r="A277" s="564"/>
      <c r="B277" s="563"/>
      <c r="C277" s="563"/>
      <c r="D277" s="563"/>
      <c r="E277" s="563"/>
      <c r="F277" s="563"/>
      <c r="G277" s="563"/>
      <c r="H277" s="563"/>
    </row>
    <row r="278" spans="1:8" ht="12.75">
      <c r="A278" s="564"/>
      <c r="B278" s="563"/>
      <c r="C278" s="563"/>
      <c r="D278" s="563"/>
      <c r="E278" s="563"/>
      <c r="F278" s="563"/>
      <c r="G278" s="563"/>
      <c r="H278" s="563"/>
    </row>
    <row r="279" spans="1:8" ht="12.75">
      <c r="A279" s="564"/>
      <c r="B279" s="563"/>
      <c r="C279" s="563"/>
      <c r="D279" s="563"/>
      <c r="E279" s="563"/>
      <c r="F279" s="563"/>
      <c r="G279" s="563"/>
      <c r="H279" s="563"/>
    </row>
    <row r="280" spans="1:8" ht="12.75">
      <c r="A280" s="564"/>
      <c r="B280" s="563"/>
      <c r="C280" s="563"/>
      <c r="D280" s="563"/>
      <c r="E280" s="563"/>
      <c r="F280" s="563"/>
      <c r="G280" s="563"/>
      <c r="H280" s="563"/>
    </row>
    <row r="281" spans="1:8" ht="12.75">
      <c r="A281" s="564"/>
      <c r="B281" s="563"/>
      <c r="C281" s="563"/>
      <c r="D281" s="563"/>
      <c r="E281" s="563"/>
      <c r="F281" s="563"/>
      <c r="G281" s="563"/>
      <c r="H281" s="563"/>
    </row>
    <row r="282" spans="1:8" ht="12.75">
      <c r="A282" s="564"/>
      <c r="B282" s="563"/>
      <c r="C282" s="563"/>
      <c r="D282" s="563"/>
      <c r="E282" s="563"/>
      <c r="F282" s="563"/>
      <c r="G282" s="563"/>
      <c r="H282" s="563"/>
    </row>
    <row r="283" spans="1:8" ht="12.75">
      <c r="A283" s="564"/>
      <c r="B283" s="563"/>
      <c r="C283" s="563"/>
      <c r="D283" s="563"/>
      <c r="E283" s="563"/>
      <c r="F283" s="563"/>
      <c r="G283" s="563"/>
      <c r="H283" s="563"/>
    </row>
    <row r="284" spans="1:8" ht="12.75">
      <c r="A284" s="564"/>
      <c r="B284" s="563"/>
      <c r="C284" s="563"/>
      <c r="D284" s="563"/>
      <c r="E284" s="563"/>
      <c r="F284" s="563"/>
      <c r="G284" s="563"/>
      <c r="H284" s="563"/>
    </row>
    <row r="285" spans="1:8" ht="12.75">
      <c r="A285" s="564"/>
      <c r="B285" s="563"/>
      <c r="C285" s="563"/>
      <c r="D285" s="563"/>
      <c r="E285" s="563"/>
      <c r="F285" s="563"/>
      <c r="G285" s="563"/>
      <c r="H285" s="563"/>
    </row>
    <row r="286" spans="1:8" ht="12.75">
      <c r="A286" s="564"/>
      <c r="B286" s="563"/>
      <c r="C286" s="563"/>
      <c r="D286" s="563"/>
      <c r="E286" s="563"/>
      <c r="F286" s="563"/>
      <c r="G286" s="563"/>
      <c r="H286" s="563"/>
    </row>
    <row r="287" spans="1:8" ht="12.75">
      <c r="A287" s="564"/>
      <c r="B287" s="563"/>
      <c r="C287" s="563"/>
      <c r="D287" s="563"/>
      <c r="E287" s="563"/>
      <c r="F287" s="563"/>
      <c r="G287" s="563"/>
      <c r="H287" s="563"/>
    </row>
    <row r="288" spans="1:8" ht="12.75">
      <c r="A288" s="564"/>
      <c r="B288" s="563"/>
      <c r="C288" s="563"/>
      <c r="D288" s="563"/>
      <c r="E288" s="563"/>
      <c r="F288" s="563"/>
      <c r="G288" s="563"/>
      <c r="H288" s="563"/>
    </row>
  </sheetData>
  <sheetProtection/>
  <mergeCells count="3">
    <mergeCell ref="C5:H5"/>
    <mergeCell ref="A1:L1"/>
    <mergeCell ref="A2:L2"/>
  </mergeCells>
  <printOptions horizontalCentered="1"/>
  <pageMargins left="0" right="0" top="0.75" bottom="0.5" header="0.5" footer="0.25"/>
  <pageSetup horizontalDpi="600" verticalDpi="600" orientation="landscape" scale="85" r:id="rId1"/>
  <headerFooter alignWithMargins="0">
    <oddFooter>&amp;C&amp;12- 21 -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pane ySplit="14" topLeftCell="A15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4.421875" style="126" customWidth="1"/>
    <col min="2" max="2" width="49.421875" style="121" customWidth="1"/>
    <col min="3" max="3" width="13.421875" style="126" customWidth="1"/>
    <col min="4" max="4" width="13.8515625" style="126" customWidth="1"/>
    <col min="5" max="5" width="9.28125" style="126" customWidth="1"/>
    <col min="6" max="6" width="13.28125" style="126" customWidth="1"/>
    <col min="7" max="7" width="2.7109375" style="126" customWidth="1"/>
    <col min="8" max="8" width="9.140625" style="121" customWidth="1"/>
    <col min="9" max="9" width="10.28125" style="121" bestFit="1" customWidth="1"/>
    <col min="10" max="16384" width="9.140625" style="121" customWidth="1"/>
  </cols>
  <sheetData>
    <row r="1" spans="1:7" ht="20.25">
      <c r="A1" s="920" t="s">
        <v>183</v>
      </c>
      <c r="B1" s="920"/>
      <c r="C1" s="920"/>
      <c r="D1" s="920"/>
      <c r="E1" s="920"/>
      <c r="F1" s="920"/>
      <c r="G1" s="516"/>
    </row>
    <row r="2" spans="1:7" ht="18.75">
      <c r="A2" s="921" t="s">
        <v>654</v>
      </c>
      <c r="B2" s="921"/>
      <c r="C2" s="921"/>
      <c r="D2" s="921"/>
      <c r="E2" s="921"/>
      <c r="F2" s="921"/>
      <c r="G2" s="254"/>
    </row>
    <row r="3" spans="1:7" ht="18.75">
      <c r="A3" s="921" t="s">
        <v>409</v>
      </c>
      <c r="B3" s="921"/>
      <c r="C3" s="921"/>
      <c r="D3" s="921"/>
      <c r="E3" s="921"/>
      <c r="F3" s="921"/>
      <c r="G3" s="254"/>
    </row>
    <row r="4" spans="1:7" ht="15.75">
      <c r="A4" s="922" t="s">
        <v>655</v>
      </c>
      <c r="B4" s="922"/>
      <c r="C4" s="922"/>
      <c r="D4" s="922"/>
      <c r="E4" s="922"/>
      <c r="F4" s="922"/>
      <c r="G4" s="517"/>
    </row>
    <row r="5" spans="1:7" ht="12">
      <c r="A5" s="923" t="s">
        <v>16</v>
      </c>
      <c r="B5" s="923"/>
      <c r="C5" s="923"/>
      <c r="D5" s="923"/>
      <c r="E5" s="923"/>
      <c r="F5" s="923"/>
      <c r="G5" s="33"/>
    </row>
    <row r="6" spans="1:7" ht="12">
      <c r="A6" s="33"/>
      <c r="B6" s="33"/>
      <c r="C6" s="33"/>
      <c r="D6" s="33"/>
      <c r="E6" s="33"/>
      <c r="F6" s="33"/>
      <c r="G6" s="33"/>
    </row>
    <row r="7" spans="1:7" ht="12">
      <c r="A7" s="33"/>
      <c r="B7" s="33"/>
      <c r="C7" s="33"/>
      <c r="D7" s="33"/>
      <c r="E7" s="33"/>
      <c r="F7" s="33"/>
      <c r="G7" s="33"/>
    </row>
    <row r="8" spans="1:7" ht="12.75">
      <c r="A8" s="6"/>
      <c r="B8" s="143" t="s">
        <v>2</v>
      </c>
      <c r="C8" s="144"/>
      <c r="D8" s="144"/>
      <c r="E8" s="144"/>
      <c r="F8" s="144"/>
      <c r="G8" s="48"/>
    </row>
    <row r="9" spans="1:7" ht="6" customHeight="1">
      <c r="A9" s="140" t="s">
        <v>2</v>
      </c>
      <c r="B9" s="142"/>
      <c r="C9" s="141"/>
      <c r="D9" s="141"/>
      <c r="E9" s="141"/>
      <c r="F9" s="141"/>
      <c r="G9" s="141"/>
    </row>
    <row r="10" spans="1:7" ht="12" customHeight="1">
      <c r="A10" s="140"/>
      <c r="B10" s="142"/>
      <c r="C10" s="475" t="s">
        <v>657</v>
      </c>
      <c r="D10" s="475" t="s">
        <v>657</v>
      </c>
      <c r="E10" s="141"/>
      <c r="F10" s="141"/>
      <c r="G10" s="141"/>
    </row>
    <row r="11" spans="1:7" ht="12">
      <c r="A11" s="140"/>
      <c r="B11" s="142"/>
      <c r="C11" s="124" t="s">
        <v>439</v>
      </c>
      <c r="D11" s="124" t="s">
        <v>89</v>
      </c>
      <c r="E11" s="475"/>
      <c r="F11" s="141"/>
      <c r="G11" s="141"/>
    </row>
    <row r="12" spans="1:7" ht="12">
      <c r="A12" s="122"/>
      <c r="B12" s="123"/>
      <c r="C12" s="124" t="s">
        <v>292</v>
      </c>
      <c r="D12" s="124" t="s">
        <v>304</v>
      </c>
      <c r="E12" s="124" t="s">
        <v>411</v>
      </c>
      <c r="F12" s="50" t="s">
        <v>88</v>
      </c>
      <c r="G12" s="50"/>
    </row>
    <row r="13" spans="1:7" ht="12">
      <c r="A13" s="131" t="s">
        <v>5</v>
      </c>
      <c r="B13" s="124"/>
      <c r="C13" s="124" t="s">
        <v>6</v>
      </c>
      <c r="D13" s="529" t="s">
        <v>656</v>
      </c>
      <c r="E13" s="124" t="s">
        <v>412</v>
      </c>
      <c r="F13" s="50" t="s">
        <v>90</v>
      </c>
      <c r="G13" s="50"/>
    </row>
    <row r="14" spans="4:5" ht="6" customHeight="1">
      <c r="D14" s="127"/>
      <c r="E14" s="127"/>
    </row>
    <row r="15" spans="1:6" ht="11.25">
      <c r="A15" s="128"/>
      <c r="B15" s="129"/>
      <c r="C15" s="128"/>
      <c r="D15" s="130"/>
      <c r="E15" s="130"/>
      <c r="F15" s="128"/>
    </row>
    <row r="16" spans="1:7" s="134" customFormat="1" ht="12.75" customHeight="1">
      <c r="A16" s="131">
        <v>401</v>
      </c>
      <c r="B16" s="135" t="s">
        <v>264</v>
      </c>
      <c r="C16" s="520">
        <v>5849851.95</v>
      </c>
      <c r="D16" s="520">
        <v>1028503.175</v>
      </c>
      <c r="E16" s="476">
        <f>D16/C16</f>
        <v>0.17581695806848582</v>
      </c>
      <c r="F16" s="520">
        <f>C16-D16</f>
        <v>4821348.775</v>
      </c>
      <c r="G16" s="520"/>
    </row>
    <row r="17" spans="1:7" s="134" customFormat="1" ht="3.75" customHeight="1">
      <c r="A17" s="131"/>
      <c r="B17" s="135"/>
      <c r="C17" s="185"/>
      <c r="D17" s="185"/>
      <c r="E17" s="476"/>
      <c r="F17" s="136"/>
      <c r="G17" s="136"/>
    </row>
    <row r="18" spans="1:7" ht="12.75" customHeight="1">
      <c r="A18" s="131">
        <v>402</v>
      </c>
      <c r="B18" s="11" t="s">
        <v>265</v>
      </c>
      <c r="C18" s="136">
        <v>761861.373</v>
      </c>
      <c r="D18" s="136">
        <v>255230.925</v>
      </c>
      <c r="E18" s="145">
        <f>D18/C18</f>
        <v>0.33500966717208797</v>
      </c>
      <c r="F18" s="477">
        <f>C18-D18</f>
        <v>506630.44800000003</v>
      </c>
      <c r="G18" s="477"/>
    </row>
    <row r="19" spans="1:7" s="134" customFormat="1" ht="3.75" customHeight="1">
      <c r="A19" s="131"/>
      <c r="B19" s="135"/>
      <c r="C19" s="185"/>
      <c r="D19" s="185"/>
      <c r="E19" s="476"/>
      <c r="F19" s="136"/>
      <c r="G19" s="136"/>
    </row>
    <row r="20" spans="1:7" s="134" customFormat="1" ht="12.75" customHeight="1">
      <c r="A20" s="131">
        <v>403</v>
      </c>
      <c r="B20" s="70" t="s">
        <v>262</v>
      </c>
      <c r="C20" s="185">
        <v>1403952.074</v>
      </c>
      <c r="D20" s="185">
        <v>231745.188</v>
      </c>
      <c r="E20" s="476">
        <f>D20/C20</f>
        <v>0.16506630980624198</v>
      </c>
      <c r="F20" s="136">
        <f>C20-D20</f>
        <v>1172206.886</v>
      </c>
      <c r="G20" s="136"/>
    </row>
    <row r="21" spans="1:7" s="134" customFormat="1" ht="3.75" customHeight="1">
      <c r="A21" s="131"/>
      <c r="B21" s="70"/>
      <c r="C21" s="185"/>
      <c r="D21" s="185"/>
      <c r="E21" s="476"/>
      <c r="F21" s="136"/>
      <c r="G21" s="136"/>
    </row>
    <row r="22" spans="1:7" ht="12.75" customHeight="1">
      <c r="A22" s="131">
        <v>404</v>
      </c>
      <c r="B22" s="18" t="s">
        <v>263</v>
      </c>
      <c r="C22" s="136">
        <v>4149.878</v>
      </c>
      <c r="D22" s="136">
        <v>1078.872</v>
      </c>
      <c r="E22" s="145">
        <f>D22/C22</f>
        <v>0.25997679931795586</v>
      </c>
      <c r="F22" s="477">
        <f>C22-D22</f>
        <v>3071.0059999999994</v>
      </c>
      <c r="G22" s="477"/>
    </row>
    <row r="23" spans="1:7" s="134" customFormat="1" ht="3.75" customHeight="1">
      <c r="A23" s="131"/>
      <c r="B23" s="70"/>
      <c r="C23" s="185"/>
      <c r="D23" s="185"/>
      <c r="E23" s="476"/>
      <c r="F23" s="136"/>
      <c r="G23" s="136"/>
    </row>
    <row r="24" spans="1:7" s="134" customFormat="1" ht="12.75" customHeight="1">
      <c r="A24" s="131">
        <v>406</v>
      </c>
      <c r="B24" s="70" t="s">
        <v>541</v>
      </c>
      <c r="C24" s="185">
        <v>1476587.588</v>
      </c>
      <c r="D24" s="185">
        <v>1459255.648</v>
      </c>
      <c r="E24" s="476">
        <f>D24/C24</f>
        <v>0.9882621659962105</v>
      </c>
      <c r="F24" s="136">
        <f>C24-D24</f>
        <v>17331.939999999944</v>
      </c>
      <c r="G24" s="136"/>
    </row>
    <row r="25" spans="1:7" s="134" customFormat="1" ht="3.75" customHeight="1">
      <c r="A25" s="131"/>
      <c r="B25" s="70"/>
      <c r="C25" s="185"/>
      <c r="D25" s="185"/>
      <c r="E25" s="476"/>
      <c r="F25" s="136"/>
      <c r="G25" s="136"/>
    </row>
    <row r="26" spans="1:7" s="134" customFormat="1" ht="12.75" customHeight="1">
      <c r="A26" s="131">
        <v>407</v>
      </c>
      <c r="B26" s="852" t="s">
        <v>658</v>
      </c>
      <c r="C26" s="185">
        <v>385508.464</v>
      </c>
      <c r="D26" s="185">
        <v>49996.405</v>
      </c>
      <c r="E26" s="476">
        <f>D26/C26</f>
        <v>0.12968951312052127</v>
      </c>
      <c r="F26" s="136">
        <f>C26-D26</f>
        <v>335512.059</v>
      </c>
      <c r="G26" s="136"/>
    </row>
    <row r="27" spans="1:7" s="134" customFormat="1" ht="3" customHeight="1">
      <c r="A27" s="131"/>
      <c r="B27" s="852"/>
      <c r="C27" s="185"/>
      <c r="D27" s="185"/>
      <c r="E27" s="476"/>
      <c r="F27" s="136"/>
      <c r="G27" s="136"/>
    </row>
    <row r="28" spans="1:7" s="134" customFormat="1" ht="12.75" customHeight="1">
      <c r="A28" s="131">
        <v>408</v>
      </c>
      <c r="B28" s="852" t="s">
        <v>659</v>
      </c>
      <c r="C28" s="185">
        <v>423370.588</v>
      </c>
      <c r="D28" s="185">
        <v>264213.41</v>
      </c>
      <c r="E28" s="476">
        <f>D28/C28</f>
        <v>0.6240712451191814</v>
      </c>
      <c r="F28" s="136">
        <f>C28-D28</f>
        <v>159157.178</v>
      </c>
      <c r="G28" s="136"/>
    </row>
    <row r="29" spans="1:7" s="134" customFormat="1" ht="3.75" customHeight="1">
      <c r="A29" s="131"/>
      <c r="B29" s="70"/>
      <c r="C29" s="185"/>
      <c r="D29" s="185"/>
      <c r="E29" s="476"/>
      <c r="F29" s="136"/>
      <c r="G29" s="136"/>
    </row>
    <row r="30" spans="1:7" s="134" customFormat="1" ht="12.75" customHeight="1">
      <c r="A30" s="131">
        <v>415</v>
      </c>
      <c r="B30" s="18" t="s">
        <v>320</v>
      </c>
      <c r="C30" s="185">
        <v>261629.214</v>
      </c>
      <c r="D30" s="185">
        <v>69059.221</v>
      </c>
      <c r="E30" s="476">
        <f>D30/C30</f>
        <v>0.2639583704899255</v>
      </c>
      <c r="F30" s="136">
        <f>C30-D30</f>
        <v>192569.99300000002</v>
      </c>
      <c r="G30" s="136"/>
    </row>
    <row r="31" spans="1:7" s="134" customFormat="1" ht="3.75" customHeight="1">
      <c r="A31" s="131"/>
      <c r="B31" s="62"/>
      <c r="C31" s="185"/>
      <c r="D31" s="185"/>
      <c r="E31" s="476"/>
      <c r="F31" s="136"/>
      <c r="G31" s="136"/>
    </row>
    <row r="32" spans="1:7" ht="12.75" customHeight="1">
      <c r="A32" s="131">
        <v>416</v>
      </c>
      <c r="B32" s="18" t="s">
        <v>321</v>
      </c>
      <c r="C32" s="136">
        <v>27679.995</v>
      </c>
      <c r="D32" s="136">
        <v>6391.503</v>
      </c>
      <c r="E32" s="145">
        <f>D32/C32</f>
        <v>0.23090694199908635</v>
      </c>
      <c r="F32" s="477">
        <f>C32-D32</f>
        <v>21288.492</v>
      </c>
      <c r="G32" s="477"/>
    </row>
    <row r="33" spans="1:7" s="134" customFormat="1" ht="3.75" customHeight="1">
      <c r="A33" s="131"/>
      <c r="B33" s="62"/>
      <c r="C33" s="185"/>
      <c r="D33" s="185"/>
      <c r="E33" s="476"/>
      <c r="F33" s="136"/>
      <c r="G33" s="136"/>
    </row>
    <row r="34" spans="1:7" s="134" customFormat="1" ht="12.75" customHeight="1">
      <c r="A34" s="131">
        <v>421</v>
      </c>
      <c r="B34" s="70" t="s">
        <v>261</v>
      </c>
      <c r="C34" s="185">
        <v>956557.879</v>
      </c>
      <c r="D34" s="185">
        <v>188749.224</v>
      </c>
      <c r="E34" s="476">
        <f>D34/C34</f>
        <v>0.19732127887266088</v>
      </c>
      <c r="F34" s="136">
        <f>C34-D34</f>
        <v>767808.655</v>
      </c>
      <c r="G34" s="136"/>
    </row>
    <row r="35" spans="1:7" s="134" customFormat="1" ht="3.75" customHeight="1">
      <c r="A35" s="131"/>
      <c r="B35" s="70"/>
      <c r="C35" s="185"/>
      <c r="D35" s="185"/>
      <c r="E35" s="476"/>
      <c r="F35" s="136"/>
      <c r="G35" s="136"/>
    </row>
    <row r="36" spans="1:7" ht="12.75" customHeight="1">
      <c r="A36" s="131">
        <v>422</v>
      </c>
      <c r="B36" s="18" t="s">
        <v>266</v>
      </c>
      <c r="C36" s="136">
        <v>21004.246</v>
      </c>
      <c r="D36" s="136">
        <v>7554.355</v>
      </c>
      <c r="E36" s="145">
        <f>D36/C36</f>
        <v>0.3596584709586814</v>
      </c>
      <c r="F36" s="136">
        <f>C36-D36</f>
        <v>13449.891</v>
      </c>
      <c r="G36" s="136"/>
    </row>
    <row r="37" spans="1:7" s="134" customFormat="1" ht="3.75" customHeight="1">
      <c r="A37" s="131"/>
      <c r="B37" s="70"/>
      <c r="C37" s="185"/>
      <c r="D37" s="185"/>
      <c r="E37" s="476"/>
      <c r="F37" s="136"/>
      <c r="G37" s="136"/>
    </row>
    <row r="38" spans="1:7" s="134" customFormat="1" ht="12.75" customHeight="1">
      <c r="A38" s="131">
        <v>423</v>
      </c>
      <c r="B38" s="18" t="s">
        <v>267</v>
      </c>
      <c r="C38" s="185">
        <v>273851.652</v>
      </c>
      <c r="D38" s="185">
        <v>58512.353</v>
      </c>
      <c r="E38" s="476">
        <f>D38/C38</f>
        <v>0.2136644149219885</v>
      </c>
      <c r="F38" s="136">
        <f>C38-D38</f>
        <v>215339.299</v>
      </c>
      <c r="G38" s="136"/>
    </row>
    <row r="39" spans="1:7" s="134" customFormat="1" ht="3.75" customHeight="1">
      <c r="A39" s="131"/>
      <c r="B39" s="18"/>
      <c r="C39" s="185"/>
      <c r="D39" s="185"/>
      <c r="E39" s="476"/>
      <c r="F39" s="136"/>
      <c r="G39" s="136"/>
    </row>
    <row r="40" spans="1:7" ht="12.75" customHeight="1">
      <c r="A40" s="131">
        <v>424</v>
      </c>
      <c r="B40" s="18" t="s">
        <v>268</v>
      </c>
      <c r="C40" s="185">
        <v>230036.818</v>
      </c>
      <c r="D40" s="136">
        <v>118619.427</v>
      </c>
      <c r="E40" s="145">
        <f>D40/C40</f>
        <v>0.5156540941198378</v>
      </c>
      <c r="F40" s="477">
        <f>C40-D40</f>
        <v>111417.391</v>
      </c>
      <c r="G40" s="477"/>
    </row>
    <row r="41" spans="1:7" s="134" customFormat="1" ht="3.75" customHeight="1">
      <c r="A41" s="131"/>
      <c r="B41" s="18"/>
      <c r="C41" s="185"/>
      <c r="D41" s="185"/>
      <c r="E41" s="476"/>
      <c r="F41" s="136"/>
      <c r="G41" s="136"/>
    </row>
    <row r="42" spans="1:7" s="134" customFormat="1" ht="12.75" customHeight="1">
      <c r="A42" s="131">
        <v>435</v>
      </c>
      <c r="B42" s="18" t="s">
        <v>269</v>
      </c>
      <c r="C42" s="185">
        <v>440484.671</v>
      </c>
      <c r="D42" s="185">
        <v>167210.255</v>
      </c>
      <c r="E42" s="476">
        <f>D42/C42</f>
        <v>0.37960516224184343</v>
      </c>
      <c r="F42" s="136">
        <f>C42-D42</f>
        <v>273274.41599999997</v>
      </c>
      <c r="G42" s="136"/>
    </row>
    <row r="43" spans="1:7" s="134" customFormat="1" ht="3.75" customHeight="1">
      <c r="A43" s="131"/>
      <c r="B43" s="18"/>
      <c r="C43" s="185"/>
      <c r="D43" s="185"/>
      <c r="E43" s="476"/>
      <c r="F43" s="136"/>
      <c r="G43" s="136"/>
    </row>
    <row r="44" spans="1:7" ht="12.75" customHeight="1">
      <c r="A44" s="131">
        <v>436</v>
      </c>
      <c r="B44" s="18" t="s">
        <v>270</v>
      </c>
      <c r="C44" s="185">
        <v>316296.661</v>
      </c>
      <c r="D44" s="136">
        <v>144944.819</v>
      </c>
      <c r="E44" s="145">
        <f>D44/C44</f>
        <v>0.45825592512340807</v>
      </c>
      <c r="F44" s="477">
        <f>C44-D44</f>
        <v>171351.84200000003</v>
      </c>
      <c r="G44" s="477"/>
    </row>
    <row r="45" spans="1:7" s="134" customFormat="1" ht="3.75" customHeight="1">
      <c r="A45" s="131"/>
      <c r="B45" s="18"/>
      <c r="C45" s="185"/>
      <c r="D45" s="185"/>
      <c r="E45" s="476"/>
      <c r="F45" s="136"/>
      <c r="G45" s="136"/>
    </row>
    <row r="46" spans="1:7" ht="12.75" customHeight="1">
      <c r="A46" s="131">
        <v>438</v>
      </c>
      <c r="B46" s="18" t="s">
        <v>271</v>
      </c>
      <c r="C46" s="185">
        <v>1147075.717</v>
      </c>
      <c r="D46" s="136">
        <v>956696.098</v>
      </c>
      <c r="E46" s="145">
        <f>D46/C46</f>
        <v>0.8340304688012152</v>
      </c>
      <c r="F46" s="477">
        <f>C46-D46</f>
        <v>190379.61899999995</v>
      </c>
      <c r="G46" s="477"/>
    </row>
    <row r="47" spans="1:7" s="134" customFormat="1" ht="3.75" customHeight="1">
      <c r="A47" s="131"/>
      <c r="B47" s="18"/>
      <c r="C47" s="185"/>
      <c r="D47" s="185"/>
      <c r="E47" s="476"/>
      <c r="F47" s="136"/>
      <c r="G47" s="136"/>
    </row>
    <row r="48" spans="1:7" s="134" customFormat="1" ht="12.75" customHeight="1">
      <c r="A48" s="131">
        <v>439</v>
      </c>
      <c r="B48" s="18" t="s">
        <v>272</v>
      </c>
      <c r="C48" s="185">
        <v>211712.288</v>
      </c>
      <c r="D48" s="185">
        <v>37229.629</v>
      </c>
      <c r="E48" s="476">
        <f>D48/C48</f>
        <v>0.1758501093710725</v>
      </c>
      <c r="F48" s="136">
        <f>C48-D48</f>
        <v>174482.65899999999</v>
      </c>
      <c r="G48" s="136"/>
    </row>
    <row r="49" spans="1:7" s="134" customFormat="1" ht="3.75" customHeight="1">
      <c r="A49" s="131"/>
      <c r="B49" s="18"/>
      <c r="C49" s="185"/>
      <c r="D49" s="185"/>
      <c r="E49" s="476"/>
      <c r="F49" s="136"/>
      <c r="G49" s="136"/>
    </row>
    <row r="50" spans="1:7" ht="12.75" customHeight="1">
      <c r="A50" s="131">
        <v>440</v>
      </c>
      <c r="B50" s="18" t="s">
        <v>273</v>
      </c>
      <c r="C50" s="185">
        <v>274605.108</v>
      </c>
      <c r="D50" s="185">
        <v>129068.411</v>
      </c>
      <c r="E50" s="145">
        <f>D50/C50</f>
        <v>0.4700146036613419</v>
      </c>
      <c r="F50" s="477">
        <f>C50-D50</f>
        <v>145536.69700000001</v>
      </c>
      <c r="G50" s="477"/>
    </row>
    <row r="51" spans="1:7" s="134" customFormat="1" ht="3.75" customHeight="1">
      <c r="A51" s="131"/>
      <c r="B51" s="18"/>
      <c r="C51" s="185"/>
      <c r="D51" s="185"/>
      <c r="E51" s="476"/>
      <c r="F51" s="136"/>
      <c r="G51" s="136"/>
    </row>
    <row r="52" spans="1:7" ht="12.75" customHeight="1">
      <c r="A52" s="131">
        <v>442</v>
      </c>
      <c r="B52" s="18" t="s">
        <v>413</v>
      </c>
      <c r="C52" s="185">
        <v>335713.885</v>
      </c>
      <c r="D52" s="136">
        <v>0</v>
      </c>
      <c r="E52" s="145">
        <f>D52/C52</f>
        <v>0</v>
      </c>
      <c r="F52" s="477">
        <f>C52-D52</f>
        <v>335713.885</v>
      </c>
      <c r="G52" s="477"/>
    </row>
    <row r="53" spans="1:7" s="134" customFormat="1" ht="3.75" customHeight="1">
      <c r="A53" s="131"/>
      <c r="B53" s="18"/>
      <c r="D53" s="185"/>
      <c r="E53" s="476"/>
      <c r="F53" s="136"/>
      <c r="G53" s="136"/>
    </row>
    <row r="54" spans="1:7" ht="12.75" customHeight="1">
      <c r="A54" s="131">
        <v>444</v>
      </c>
      <c r="B54" s="18" t="s">
        <v>275</v>
      </c>
      <c r="C54" s="185">
        <v>498066.494</v>
      </c>
      <c r="D54" s="136">
        <v>243786.042</v>
      </c>
      <c r="E54" s="145">
        <f>D54/C54</f>
        <v>0.4894648504502694</v>
      </c>
      <c r="F54" s="477">
        <f>C54-D54</f>
        <v>254280.45200000002</v>
      </c>
      <c r="G54" s="477"/>
    </row>
    <row r="55" spans="1:7" s="134" customFormat="1" ht="3.75" customHeight="1">
      <c r="A55" s="131"/>
      <c r="B55" s="18"/>
      <c r="C55" s="185"/>
      <c r="D55" s="185"/>
      <c r="E55" s="476"/>
      <c r="F55" s="136"/>
      <c r="G55" s="136"/>
    </row>
    <row r="56" spans="1:7" s="134" customFormat="1" ht="12.75" customHeight="1">
      <c r="A56" s="131">
        <v>453</v>
      </c>
      <c r="B56" s="18" t="s">
        <v>277</v>
      </c>
      <c r="C56" s="185">
        <v>174944.339</v>
      </c>
      <c r="D56" s="185">
        <v>51206.968</v>
      </c>
      <c r="E56" s="476">
        <f>D56/C56</f>
        <v>0.29270434409426643</v>
      </c>
      <c r="F56" s="136">
        <f>C56-D56</f>
        <v>123737.37100000001</v>
      </c>
      <c r="G56" s="136"/>
    </row>
    <row r="57" spans="1:7" s="134" customFormat="1" ht="3.75" customHeight="1">
      <c r="A57" s="131"/>
      <c r="B57" s="18"/>
      <c r="C57" s="185"/>
      <c r="D57" s="185"/>
      <c r="E57" s="476"/>
      <c r="F57" s="136"/>
      <c r="G57" s="136"/>
    </row>
    <row r="58" spans="1:7" ht="12.75" customHeight="1">
      <c r="A58" s="131">
        <v>454</v>
      </c>
      <c r="B58" s="18" t="s">
        <v>276</v>
      </c>
      <c r="C58" s="185">
        <v>164069.332</v>
      </c>
      <c r="D58" s="136">
        <v>85361.098</v>
      </c>
      <c r="E58" s="145">
        <f>D58/C58</f>
        <v>0.5202745507612598</v>
      </c>
      <c r="F58" s="477">
        <f>C58-D58</f>
        <v>78708.234</v>
      </c>
      <c r="G58" s="477"/>
    </row>
    <row r="59" spans="1:7" s="134" customFormat="1" ht="3.75" customHeight="1">
      <c r="A59" s="131"/>
      <c r="B59" s="18"/>
      <c r="C59" s="185"/>
      <c r="D59" s="185"/>
      <c r="E59" s="476"/>
      <c r="F59" s="136"/>
      <c r="G59" s="136"/>
    </row>
    <row r="60" spans="1:7" s="134" customFormat="1" ht="12.75" customHeight="1">
      <c r="A60" s="131">
        <v>461</v>
      </c>
      <c r="B60" s="18" t="s">
        <v>278</v>
      </c>
      <c r="C60" s="185">
        <v>3043687.82</v>
      </c>
      <c r="D60" s="237">
        <v>500464.12168</v>
      </c>
      <c r="E60" s="476">
        <f>D60/C60</f>
        <v>0.16442688977215805</v>
      </c>
      <c r="F60" s="136">
        <f>C60-D60</f>
        <v>2543223.69832</v>
      </c>
      <c r="G60" s="136"/>
    </row>
    <row r="61" spans="1:7" s="134" customFormat="1" ht="3.75" customHeight="1">
      <c r="A61" s="131"/>
      <c r="B61" s="18"/>
      <c r="C61" s="185"/>
      <c r="D61" s="185"/>
      <c r="E61" s="476"/>
      <c r="F61" s="136"/>
      <c r="G61" s="136"/>
    </row>
    <row r="62" spans="1:7" ht="12.75" customHeight="1">
      <c r="A62" s="131">
        <v>470</v>
      </c>
      <c r="B62" s="18" t="s">
        <v>280</v>
      </c>
      <c r="C62" s="185">
        <v>909861.953</v>
      </c>
      <c r="D62" s="136">
        <v>710372.087</v>
      </c>
      <c r="E62" s="145">
        <f>D62/C62</f>
        <v>0.7807471063690032</v>
      </c>
      <c r="F62" s="477">
        <f>C62-D62</f>
        <v>199489.86599999992</v>
      </c>
      <c r="G62" s="477"/>
    </row>
    <row r="63" spans="1:7" ht="3.75" customHeight="1">
      <c r="A63" s="131"/>
      <c r="B63" s="18"/>
      <c r="C63" s="136"/>
      <c r="D63" s="478"/>
      <c r="E63" s="145"/>
      <c r="F63" s="477"/>
      <c r="G63" s="477"/>
    </row>
    <row r="64" spans="1:7" ht="12.75" customHeight="1">
      <c r="A64" s="131">
        <v>472</v>
      </c>
      <c r="B64" s="18" t="s">
        <v>542</v>
      </c>
      <c r="C64" s="185">
        <v>652495.759</v>
      </c>
      <c r="D64" s="136">
        <v>451198.59</v>
      </c>
      <c r="E64" s="145">
        <f>D64/C64</f>
        <v>0.6914965864168936</v>
      </c>
      <c r="F64" s="477">
        <f>C64-D64</f>
        <v>201297.16899999994</v>
      </c>
      <c r="G64" s="477"/>
    </row>
    <row r="65" spans="1:7" ht="3.75" customHeight="1">
      <c r="A65" s="131"/>
      <c r="B65" s="18"/>
      <c r="C65" s="136"/>
      <c r="D65" s="478"/>
      <c r="E65" s="145"/>
      <c r="F65" s="477"/>
      <c r="G65" s="477"/>
    </row>
    <row r="66" spans="1:7" ht="12.75" customHeight="1">
      <c r="A66" s="131">
        <v>474</v>
      </c>
      <c r="B66" s="18" t="s">
        <v>279</v>
      </c>
      <c r="C66" s="185">
        <v>66690.57</v>
      </c>
      <c r="D66" s="136">
        <v>21742.748</v>
      </c>
      <c r="E66" s="145">
        <f>D66/C66</f>
        <v>0.3260243239786374</v>
      </c>
      <c r="F66" s="477">
        <f>C66-D66</f>
        <v>44947.82200000001</v>
      </c>
      <c r="G66" s="477"/>
    </row>
    <row r="67" spans="1:7" s="134" customFormat="1" ht="3.75" customHeight="1" hidden="1">
      <c r="A67" s="138"/>
      <c r="B67" s="18"/>
      <c r="C67" s="185"/>
      <c r="D67" s="185"/>
      <c r="E67" s="476"/>
      <c r="F67" s="136"/>
      <c r="G67" s="136"/>
    </row>
    <row r="68" spans="1:7" s="134" customFormat="1" ht="12.75" customHeight="1" hidden="1">
      <c r="A68" s="435" t="s">
        <v>397</v>
      </c>
      <c r="B68" s="137" t="s">
        <v>396</v>
      </c>
      <c r="C68" s="512">
        <v>0</v>
      </c>
      <c r="D68" s="512">
        <v>0</v>
      </c>
      <c r="E68" s="513">
        <v>0</v>
      </c>
      <c r="F68" s="436">
        <v>0</v>
      </c>
      <c r="G68" s="436"/>
    </row>
    <row r="69" spans="1:7" s="134" customFormat="1" ht="6" customHeight="1">
      <c r="A69" s="138"/>
      <c r="B69" s="18"/>
      <c r="C69" s="185"/>
      <c r="D69" s="185"/>
      <c r="E69" s="476"/>
      <c r="F69" s="136"/>
      <c r="G69" s="136"/>
    </row>
    <row r="70" spans="1:7" s="134" customFormat="1" ht="13.5" customHeight="1">
      <c r="A70" s="479" t="s">
        <v>414</v>
      </c>
      <c r="B70" s="480"/>
      <c r="C70" s="481">
        <f>SUM(C16:C68)</f>
        <v>20311746.316000003</v>
      </c>
      <c r="D70" s="482">
        <f>SUM(D16:D68)</f>
        <v>7238190.572680001</v>
      </c>
      <c r="E70" s="483">
        <f>D70/C70</f>
        <v>0.356354912082489</v>
      </c>
      <c r="F70" s="482">
        <f>SUM(F16:F68)</f>
        <v>13073555.74332</v>
      </c>
      <c r="G70" s="482"/>
    </row>
    <row r="71" spans="1:7" s="134" customFormat="1" ht="3.75" customHeight="1">
      <c r="A71" s="131"/>
      <c r="B71" s="137"/>
      <c r="C71" s="136"/>
      <c r="D71" s="139"/>
      <c r="E71" s="139"/>
      <c r="F71" s="132"/>
      <c r="G71" s="132"/>
    </row>
    <row r="72" spans="1:7" s="134" customFormat="1" ht="12.75" customHeight="1">
      <c r="A72" s="131">
        <v>481</v>
      </c>
      <c r="B72" s="18" t="s">
        <v>415</v>
      </c>
      <c r="C72" s="185">
        <v>1012413.12</v>
      </c>
      <c r="D72" s="185">
        <v>206441.008</v>
      </c>
      <c r="E72" s="484">
        <f>D72/C72</f>
        <v>0.20390985055586794</v>
      </c>
      <c r="F72" s="181">
        <f>C72-D72</f>
        <v>805972.112</v>
      </c>
      <c r="G72" s="181"/>
    </row>
    <row r="73" spans="1:7" s="134" customFormat="1" ht="4.5" customHeight="1" hidden="1">
      <c r="A73" s="131"/>
      <c r="B73" s="18"/>
      <c r="C73" s="185"/>
      <c r="D73" s="185"/>
      <c r="E73" s="185"/>
      <c r="F73" s="181"/>
      <c r="G73" s="181"/>
    </row>
    <row r="74" spans="1:7" s="134" customFormat="1" ht="11.25" customHeight="1" hidden="1">
      <c r="A74" s="435" t="s">
        <v>397</v>
      </c>
      <c r="B74" s="137" t="s">
        <v>396</v>
      </c>
      <c r="C74" s="512">
        <v>0</v>
      </c>
      <c r="D74" s="512"/>
      <c r="E74" s="513">
        <v>0</v>
      </c>
      <c r="F74" s="436">
        <v>0</v>
      </c>
      <c r="G74" s="436"/>
    </row>
    <row r="75" spans="1:7" s="134" customFormat="1" ht="4.5" customHeight="1">
      <c r="A75" s="131"/>
      <c r="B75" s="18"/>
      <c r="C75" s="185"/>
      <c r="D75" s="185"/>
      <c r="E75" s="185"/>
      <c r="F75" s="181"/>
      <c r="G75" s="181"/>
    </row>
    <row r="76" spans="1:7" ht="12.75" customHeight="1">
      <c r="A76" s="131">
        <v>482</v>
      </c>
      <c r="B76" s="18" t="s">
        <v>464</v>
      </c>
      <c r="C76" s="185">
        <v>607043.905</v>
      </c>
      <c r="D76" s="136">
        <v>206606.305</v>
      </c>
      <c r="E76" s="145">
        <f>D76/C76</f>
        <v>0.3403482075979331</v>
      </c>
      <c r="F76" s="485">
        <f>C76-D76</f>
        <v>400437.60000000003</v>
      </c>
      <c r="G76" s="485"/>
    </row>
    <row r="77" spans="1:7" s="134" customFormat="1" ht="3.75" customHeight="1">
      <c r="A77" s="131"/>
      <c r="B77" s="18"/>
      <c r="C77" s="185"/>
      <c r="D77" s="185"/>
      <c r="E77" s="185"/>
      <c r="F77" s="181"/>
      <c r="G77" s="181"/>
    </row>
    <row r="78" spans="1:7" s="134" customFormat="1" ht="13.5" customHeight="1">
      <c r="A78" s="486" t="s">
        <v>416</v>
      </c>
      <c r="B78" s="487"/>
      <c r="C78" s="488">
        <f>SUM(C72:C77)</f>
        <v>1619457.025</v>
      </c>
      <c r="D78" s="488">
        <f>SUM(D72:D77)</f>
        <v>413047.31299999997</v>
      </c>
      <c r="E78" s="489">
        <f>D78/C78</f>
        <v>0.25505296319919324</v>
      </c>
      <c r="F78" s="488">
        <f>SUM(F72:F77)</f>
        <v>1206409.712</v>
      </c>
      <c r="G78" s="488"/>
    </row>
    <row r="79" spans="1:7" ht="3.75" customHeight="1" thickBot="1">
      <c r="A79" s="131"/>
      <c r="B79" s="70"/>
      <c r="C79" s="48"/>
      <c r="D79" s="133"/>
      <c r="E79" s="133"/>
      <c r="F79" s="48"/>
      <c r="G79" s="48"/>
    </row>
    <row r="80" spans="1:7" ht="13.5" customHeight="1" thickBot="1" thickTop="1">
      <c r="A80" s="490" t="s">
        <v>252</v>
      </c>
      <c r="B80" s="491"/>
      <c r="C80" s="492">
        <f>+C78+C70</f>
        <v>21931203.341000002</v>
      </c>
      <c r="D80" s="492">
        <f>+D78+D70</f>
        <v>7651237.885680001</v>
      </c>
      <c r="E80" s="493">
        <f>+D80/C80</f>
        <v>0.3488745130266585</v>
      </c>
      <c r="F80" s="494">
        <f>+F78+F70</f>
        <v>14279965.455319999</v>
      </c>
      <c r="G80" s="494"/>
    </row>
    <row r="81" spans="1:7" ht="12.75" thickTop="1">
      <c r="A81" s="131"/>
      <c r="B81" s="18"/>
      <c r="C81" s="136"/>
      <c r="D81" s="530"/>
      <c r="E81" s="145"/>
      <c r="F81" s="477"/>
      <c r="G81" s="477"/>
    </row>
    <row r="82" spans="1:7" ht="12">
      <c r="A82" s="131"/>
      <c r="B82" s="18"/>
      <c r="C82" s="136"/>
      <c r="D82" s="531"/>
      <c r="E82" s="145"/>
      <c r="F82" s="477"/>
      <c r="G82" s="477"/>
    </row>
    <row r="83" spans="1:7" ht="12">
      <c r="A83" s="131"/>
      <c r="B83" s="18"/>
      <c r="C83" s="136"/>
      <c r="D83" s="478"/>
      <c r="E83" s="145"/>
      <c r="F83" s="477"/>
      <c r="G83" s="477"/>
    </row>
    <row r="84" spans="1:7" ht="12.75">
      <c r="A84" s="495" t="s">
        <v>417</v>
      </c>
      <c r="B84" s="496"/>
      <c r="C84" s="68"/>
      <c r="D84" s="497"/>
      <c r="E84" s="498"/>
      <c r="F84" s="499"/>
      <c r="G84" s="499"/>
    </row>
    <row r="85" spans="1:9" ht="12.75" customHeight="1">
      <c r="A85" s="500" t="s">
        <v>418</v>
      </c>
      <c r="B85" s="501"/>
      <c r="C85" s="830">
        <f>+C16+C20+C30+C34+C38+C42+C48+C56+C60+C72+C26</f>
        <v>14014593.471</v>
      </c>
      <c r="D85" s="830">
        <f>+D16+D20+D30+D34+D38+D42+D48+D56+D60+D72+D26</f>
        <v>2589117.5476799994</v>
      </c>
      <c r="E85" s="503">
        <f>+D85/C85</f>
        <v>0.18474439183966246</v>
      </c>
      <c r="F85" s="831">
        <f>+F16+F20+F30+F34+F38+F42+F48+F56+F60+F72+F26</f>
        <v>11425475.923320001</v>
      </c>
      <c r="G85" s="831"/>
      <c r="I85" s="892"/>
    </row>
    <row r="86" spans="1:7" ht="12.75" customHeight="1">
      <c r="A86" s="504" t="s">
        <v>293</v>
      </c>
      <c r="B86" s="505"/>
      <c r="C86" s="502">
        <f>+C18+C22+C32+C36+C40+C44+C46+C50+C52+C54+C58+C62+C64+C66+C76+C24+C28</f>
        <v>7916609.869999999</v>
      </c>
      <c r="D86" s="502">
        <f>+D18+D22+D32+D36+D40+D44+D46+D50+D52+D54+D58+D62+D64+D66+D76+D24+D28</f>
        <v>5062120.338</v>
      </c>
      <c r="E86" s="503">
        <f>+D86/C86</f>
        <v>0.639430314380264</v>
      </c>
      <c r="F86" s="511">
        <f>+F18+F22+F32+F36+F40+F44+F46+F50+F52+F54+F58+F62+F64+F66+F76+F24+F28</f>
        <v>2854489.5319999997</v>
      </c>
      <c r="G86" s="511"/>
    </row>
    <row r="87" spans="1:7" ht="12.75" thickBot="1">
      <c r="A87" s="506" t="s">
        <v>252</v>
      </c>
      <c r="B87" s="507"/>
      <c r="C87" s="509">
        <f>SUM(C85:C86)</f>
        <v>21931203.341</v>
      </c>
      <c r="D87" s="509">
        <f>SUM(D85:D86)</f>
        <v>7651237.885679999</v>
      </c>
      <c r="E87" s="508">
        <f>+D87/C87</f>
        <v>0.34887451302665845</v>
      </c>
      <c r="F87" s="510">
        <f>SUM(F85:F86)</f>
        <v>14279965.45532</v>
      </c>
      <c r="G87" s="510"/>
    </row>
    <row r="88" spans="1:7" ht="13.5" thickTop="1">
      <c r="A88" s="131"/>
      <c r="B88" s="146"/>
      <c r="C88" s="136"/>
      <c r="D88" s="136"/>
      <c r="E88" s="136"/>
      <c r="F88" s="121"/>
      <c r="G88" s="121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" right="0" top="0.75" bottom="0.5" header="0.25" footer="0.25"/>
  <pageSetup horizontalDpi="600" verticalDpi="600" orientation="portrait" scale="88" r:id="rId1"/>
  <headerFooter alignWithMargins="0">
    <oddFooter>&amp;C&amp;12- 22 -</oddFooter>
  </headerFooter>
  <ignoredErrors>
    <ignoredError sqref="D13" twoDigitTextYear="1"/>
    <ignoredError sqref="E70 E78 E80 E85:E8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13" sqref="G13"/>
    </sheetView>
  </sheetViews>
  <sheetFormatPr defaultColWidth="20.28125" defaultRowHeight="12.75"/>
  <cols>
    <col min="1" max="1" width="37.57421875" style="673" customWidth="1"/>
    <col min="2" max="2" width="19.00390625" style="672" customWidth="1"/>
    <col min="3" max="3" width="1.7109375" style="672" customWidth="1"/>
    <col min="4" max="4" width="34.140625" style="672" customWidth="1"/>
    <col min="5" max="5" width="1.57421875" style="672" customWidth="1"/>
    <col min="6" max="6" width="16.7109375" style="672" customWidth="1"/>
    <col min="7" max="16384" width="20.28125" style="672" customWidth="1"/>
  </cols>
  <sheetData>
    <row r="1" spans="1:6" s="665" customFormat="1" ht="26.25">
      <c r="A1" s="907" t="s">
        <v>85</v>
      </c>
      <c r="B1" s="907"/>
      <c r="C1" s="907"/>
      <c r="D1" s="907"/>
      <c r="E1" s="907"/>
      <c r="F1" s="907"/>
    </row>
    <row r="2" spans="1:6" s="666" customFormat="1" ht="19.5">
      <c r="A2" s="908" t="s">
        <v>509</v>
      </c>
      <c r="B2" s="908"/>
      <c r="C2" s="908"/>
      <c r="D2" s="908"/>
      <c r="E2" s="908"/>
      <c r="F2" s="908"/>
    </row>
    <row r="3" spans="1:6" s="667" customFormat="1" ht="15.75">
      <c r="A3" s="909" t="s">
        <v>577</v>
      </c>
      <c r="B3" s="909"/>
      <c r="C3" s="909"/>
      <c r="D3" s="909"/>
      <c r="E3" s="909"/>
      <c r="F3" s="909"/>
    </row>
    <row r="4" spans="1:6" s="669" customFormat="1" ht="15">
      <c r="A4" s="668"/>
      <c r="B4" s="668"/>
      <c r="C4" s="668"/>
      <c r="D4" s="668"/>
      <c r="E4" s="668"/>
      <c r="F4" s="668"/>
    </row>
    <row r="5" spans="1:6" s="669" customFormat="1" ht="15">
      <c r="A5" s="668"/>
      <c r="B5" s="668"/>
      <c r="C5" s="668"/>
      <c r="D5" s="668"/>
      <c r="E5" s="668"/>
      <c r="F5" s="668"/>
    </row>
    <row r="6" spans="1:6" s="669" customFormat="1" ht="15">
      <c r="A6" s="668"/>
      <c r="B6" s="668"/>
      <c r="C6" s="668"/>
      <c r="D6" s="668"/>
      <c r="E6" s="668"/>
      <c r="F6" s="668"/>
    </row>
    <row r="7" spans="1:6" ht="12.75">
      <c r="A7" s="670"/>
      <c r="B7" s="671"/>
      <c r="C7" s="671"/>
      <c r="D7" s="671"/>
      <c r="E7" s="671"/>
      <c r="F7" s="671"/>
    </row>
    <row r="9" spans="1:2" ht="15.75" customHeight="1">
      <c r="A9" s="674" t="s">
        <v>323</v>
      </c>
      <c r="B9" s="675">
        <f>+'City Approved'!G48</f>
        <v>92537339</v>
      </c>
    </row>
    <row r="10" spans="1:2" ht="3.75" customHeight="1">
      <c r="A10" s="676"/>
      <c r="B10" s="677"/>
    </row>
    <row r="11" ht="6" customHeight="1" thickBot="1">
      <c r="B11" s="678"/>
    </row>
    <row r="12" spans="1:2" s="680" customFormat="1" ht="13.5" thickTop="1">
      <c r="A12" s="703"/>
      <c r="B12" s="679"/>
    </row>
    <row r="13" ht="6" customHeight="1"/>
    <row r="14" spans="1:6" ht="6" customHeight="1">
      <c r="A14" s="681"/>
      <c r="B14" s="682"/>
      <c r="C14" s="682"/>
      <c r="D14" s="682"/>
      <c r="E14" s="682"/>
      <c r="F14" s="682"/>
    </row>
    <row r="15" spans="1:6" ht="12.75">
      <c r="A15" s="683"/>
      <c r="B15" s="680"/>
      <c r="C15" s="680"/>
      <c r="D15" s="684" t="s">
        <v>324</v>
      </c>
      <c r="E15" s="684"/>
      <c r="F15" s="684" t="s">
        <v>325</v>
      </c>
    </row>
    <row r="16" spans="1:6" ht="12.75">
      <c r="A16" s="685" t="s">
        <v>326</v>
      </c>
      <c r="B16" s="686" t="s">
        <v>327</v>
      </c>
      <c r="C16" s="680"/>
      <c r="D16" s="684" t="s">
        <v>328</v>
      </c>
      <c r="E16" s="684"/>
      <c r="F16" s="684" t="s">
        <v>4</v>
      </c>
    </row>
    <row r="17" spans="1:6" ht="6" customHeight="1">
      <c r="A17" s="670"/>
      <c r="B17" s="671"/>
      <c r="C17" s="671"/>
      <c r="D17" s="671"/>
      <c r="E17" s="671"/>
      <c r="F17" s="671"/>
    </row>
    <row r="19" spans="1:6" ht="12.75">
      <c r="A19" s="687" t="s">
        <v>465</v>
      </c>
      <c r="B19" s="694"/>
      <c r="D19" s="688"/>
      <c r="E19" s="688"/>
      <c r="F19" s="691"/>
    </row>
    <row r="20" spans="1:6" ht="12.75">
      <c r="A20" s="676" t="s">
        <v>292</v>
      </c>
      <c r="B20" s="689">
        <v>-15111338</v>
      </c>
      <c r="C20" s="695"/>
      <c r="D20" s="766" t="s">
        <v>585</v>
      </c>
      <c r="E20" s="767"/>
      <c r="F20" s="691">
        <v>42181</v>
      </c>
    </row>
    <row r="21" spans="1:6" ht="12.75">
      <c r="A21" s="695" t="s">
        <v>431</v>
      </c>
      <c r="B21" s="694">
        <v>-10913099</v>
      </c>
      <c r="C21" s="695"/>
      <c r="D21" s="766" t="s">
        <v>585</v>
      </c>
      <c r="E21" s="767"/>
      <c r="F21" s="691">
        <v>42181</v>
      </c>
    </row>
    <row r="22" spans="1:6" ht="12.75">
      <c r="A22" s="695" t="s">
        <v>420</v>
      </c>
      <c r="B22" s="694">
        <v>4625000</v>
      </c>
      <c r="C22" s="695"/>
      <c r="D22" s="766" t="s">
        <v>585</v>
      </c>
      <c r="E22" s="767"/>
      <c r="F22" s="691">
        <v>42181</v>
      </c>
    </row>
    <row r="23" spans="1:6" ht="12.75">
      <c r="A23" s="692" t="s">
        <v>466</v>
      </c>
      <c r="B23" s="693">
        <f>SUM(B20:B22)</f>
        <v>-21399437</v>
      </c>
      <c r="C23" s="695"/>
      <c r="D23" s="696"/>
      <c r="E23" s="696"/>
      <c r="F23" s="697"/>
    </row>
    <row r="24" spans="1:6" ht="12.75">
      <c r="A24" s="695"/>
      <c r="B24" s="694"/>
      <c r="C24" s="695"/>
      <c r="D24" s="696"/>
      <c r="E24" s="696"/>
      <c r="F24" s="697"/>
    </row>
    <row r="25" spans="1:6" ht="12.75">
      <c r="A25" s="695"/>
      <c r="B25" s="694"/>
      <c r="C25" s="695"/>
      <c r="D25" s="696"/>
      <c r="E25" s="696"/>
      <c r="F25" s="697"/>
    </row>
    <row r="26" spans="1:6" ht="12.75">
      <c r="A26" s="687" t="s">
        <v>467</v>
      </c>
      <c r="B26" s="694"/>
      <c r="C26" s="695"/>
      <c r="D26" s="696"/>
      <c r="E26" s="696"/>
      <c r="F26" s="697"/>
    </row>
    <row r="27" spans="1:6" ht="12.75">
      <c r="A27" s="676" t="s">
        <v>292</v>
      </c>
      <c r="B27" s="689">
        <v>-9363998</v>
      </c>
      <c r="C27" s="695"/>
      <c r="D27" s="766" t="s">
        <v>585</v>
      </c>
      <c r="E27" s="767"/>
      <c r="F27" s="691">
        <v>42181</v>
      </c>
    </row>
    <row r="28" spans="1:6" ht="12.75">
      <c r="A28" s="695" t="s">
        <v>431</v>
      </c>
      <c r="B28" s="694">
        <v>-1592508</v>
      </c>
      <c r="C28" s="695"/>
      <c r="D28" s="766" t="s">
        <v>585</v>
      </c>
      <c r="E28" s="767"/>
      <c r="F28" s="691">
        <v>42181</v>
      </c>
    </row>
    <row r="29" spans="1:6" ht="12.75">
      <c r="A29" s="676" t="s">
        <v>433</v>
      </c>
      <c r="B29" s="694">
        <v>2380378</v>
      </c>
      <c r="C29" s="695"/>
      <c r="D29" s="766" t="s">
        <v>585</v>
      </c>
      <c r="E29" s="767"/>
      <c r="F29" s="691">
        <v>42181</v>
      </c>
    </row>
    <row r="30" spans="1:6" ht="12.75">
      <c r="A30" s="695" t="s">
        <v>420</v>
      </c>
      <c r="B30" s="694">
        <v>517425</v>
      </c>
      <c r="C30" s="695"/>
      <c r="D30" s="766" t="s">
        <v>585</v>
      </c>
      <c r="E30" s="767"/>
      <c r="F30" s="691">
        <v>42181</v>
      </c>
    </row>
    <row r="31" spans="1:6" ht="12.75">
      <c r="A31" s="692" t="s">
        <v>469</v>
      </c>
      <c r="B31" s="693">
        <f>SUM(B27:B30)</f>
        <v>-8058703</v>
      </c>
      <c r="C31" s="695"/>
      <c r="D31" s="766"/>
      <c r="E31" s="767"/>
      <c r="F31" s="697"/>
    </row>
    <row r="32" spans="1:6" ht="12.75">
      <c r="A32" s="695"/>
      <c r="B32" s="694"/>
      <c r="C32" s="695"/>
      <c r="D32" s="696"/>
      <c r="E32" s="696"/>
      <c r="F32" s="697"/>
    </row>
    <row r="33" spans="1:6" ht="12.75">
      <c r="A33" s="695"/>
      <c r="B33" s="694"/>
      <c r="C33" s="695"/>
      <c r="D33" s="696"/>
      <c r="E33" s="696"/>
      <c r="F33" s="697"/>
    </row>
    <row r="34" spans="1:6" ht="12.75">
      <c r="A34" s="687" t="s">
        <v>580</v>
      </c>
      <c r="B34" s="694"/>
      <c r="C34" s="695"/>
      <c r="D34" s="696"/>
      <c r="E34" s="696"/>
      <c r="F34" s="697"/>
    </row>
    <row r="35" spans="1:6" ht="12.75">
      <c r="A35" s="695" t="s">
        <v>431</v>
      </c>
      <c r="B35" s="689">
        <v>-50142937</v>
      </c>
      <c r="C35" s="695"/>
      <c r="D35" s="696" t="s">
        <v>581</v>
      </c>
      <c r="E35" s="696"/>
      <c r="F35" s="697" t="s">
        <v>584</v>
      </c>
    </row>
    <row r="36" spans="1:6" ht="12.75">
      <c r="A36" s="695" t="s">
        <v>432</v>
      </c>
      <c r="B36" s="694">
        <v>27253403</v>
      </c>
      <c r="C36" s="695"/>
      <c r="D36" s="696" t="s">
        <v>581</v>
      </c>
      <c r="E36" s="696"/>
      <c r="F36" s="697" t="s">
        <v>584</v>
      </c>
    </row>
    <row r="37" spans="1:6" ht="12.75">
      <c r="A37" s="695" t="s">
        <v>433</v>
      </c>
      <c r="B37" s="694">
        <v>16226832</v>
      </c>
      <c r="C37" s="695"/>
      <c r="D37" s="696" t="s">
        <v>581</v>
      </c>
      <c r="E37" s="696"/>
      <c r="F37" s="697" t="s">
        <v>584</v>
      </c>
    </row>
    <row r="38" spans="1:6" ht="12.75">
      <c r="A38" s="695" t="s">
        <v>468</v>
      </c>
      <c r="B38" s="694">
        <v>130003922</v>
      </c>
      <c r="C38" s="695"/>
      <c r="D38" s="696" t="s">
        <v>510</v>
      </c>
      <c r="E38" s="696"/>
      <c r="F38" s="697" t="s">
        <v>584</v>
      </c>
    </row>
    <row r="39" spans="1:6" ht="12.75">
      <c r="A39" s="695" t="s">
        <v>420</v>
      </c>
      <c r="B39" s="694">
        <v>-1345741</v>
      </c>
      <c r="C39" s="695"/>
      <c r="D39" s="696" t="s">
        <v>583</v>
      </c>
      <c r="E39" s="696"/>
      <c r="F39" s="697" t="s">
        <v>584</v>
      </c>
    </row>
    <row r="40" spans="1:6" ht="12.75">
      <c r="A40" s="698" t="s">
        <v>582</v>
      </c>
      <c r="B40" s="693">
        <f>SUM(B35:B39)</f>
        <v>121995479</v>
      </c>
      <c r="C40" s="695"/>
      <c r="D40" s="695"/>
      <c r="E40" s="695"/>
      <c r="F40" s="697"/>
    </row>
    <row r="41" spans="1:6" ht="12.75">
      <c r="A41" s="695"/>
      <c r="B41" s="694"/>
      <c r="C41" s="695"/>
      <c r="D41" s="695"/>
      <c r="E41" s="695"/>
      <c r="F41" s="697"/>
    </row>
    <row r="42" spans="1:6" ht="12.75">
      <c r="A42" s="690"/>
      <c r="B42" s="694"/>
      <c r="C42" s="690"/>
      <c r="D42" s="690"/>
      <c r="E42" s="690"/>
      <c r="F42" s="704"/>
    </row>
    <row r="43" spans="1:6" ht="6" customHeight="1" thickBot="1">
      <c r="A43" s="676"/>
      <c r="B43" s="694"/>
      <c r="D43" s="699"/>
      <c r="E43" s="699"/>
      <c r="F43" s="700"/>
    </row>
    <row r="44" spans="1:6" ht="14.25" thickBot="1" thickTop="1">
      <c r="A44" s="701" t="s">
        <v>463</v>
      </c>
      <c r="B44" s="702">
        <f>+B23+B31+B40</f>
        <v>92537339</v>
      </c>
      <c r="D44" s="699"/>
      <c r="E44" s="699"/>
      <c r="F44" s="700"/>
    </row>
    <row r="45" ht="6" customHeight="1" thickTop="1">
      <c r="B45" s="676"/>
    </row>
    <row r="46" spans="1:2" ht="12.75" customHeight="1">
      <c r="A46" s="705"/>
      <c r="B46" s="676"/>
    </row>
  </sheetData>
  <sheetProtection/>
  <mergeCells count="3">
    <mergeCell ref="A1:F1"/>
    <mergeCell ref="A2:F2"/>
    <mergeCell ref="A3:F3"/>
  </mergeCells>
  <printOptions horizontalCentered="1"/>
  <pageMargins left="0" right="0" top="1" bottom="0.5" header="0" footer="0.25"/>
  <pageSetup horizontalDpi="600" verticalDpi="600" orientation="portrait" scale="85" r:id="rId1"/>
  <headerFooter alignWithMargins="0">
    <oddFooter>&amp;C&amp;14- 2 -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6:J39"/>
  <sheetViews>
    <sheetView zoomScalePageLayoutView="0" workbookViewId="0" topLeftCell="A1">
      <selection activeCell="G13" sqref="G13"/>
    </sheetView>
  </sheetViews>
  <sheetFormatPr defaultColWidth="9.140625" defaultRowHeight="12.75"/>
  <sheetData>
    <row r="36" spans="2:10" ht="12.75">
      <c r="B36" s="547"/>
      <c r="C36" s="81"/>
      <c r="D36" s="81"/>
      <c r="E36" s="81"/>
      <c r="F36" s="81"/>
      <c r="G36" s="81"/>
      <c r="H36" s="81"/>
      <c r="I36" s="81"/>
      <c r="J36" s="81"/>
    </row>
    <row r="37" spans="2:10" ht="12.75">
      <c r="B37" s="81"/>
      <c r="C37" s="81"/>
      <c r="D37" s="81"/>
      <c r="E37" s="81"/>
      <c r="F37" s="81"/>
      <c r="G37" s="81"/>
      <c r="H37" s="81"/>
      <c r="I37" s="81"/>
      <c r="J37" s="81"/>
    </row>
    <row r="38" spans="2:10" ht="12.75">
      <c r="B38" s="81"/>
      <c r="C38" s="81"/>
      <c r="D38" s="81"/>
      <c r="E38" s="81"/>
      <c r="F38" s="81"/>
      <c r="G38" s="81"/>
      <c r="H38" s="81"/>
      <c r="I38" s="81"/>
      <c r="J38" s="81"/>
    </row>
    <row r="39" spans="2:10" ht="4.5" customHeight="1">
      <c r="B39" s="81"/>
      <c r="C39" s="81"/>
      <c r="D39" s="81"/>
      <c r="E39" s="81"/>
      <c r="F39" s="81"/>
      <c r="G39" s="81"/>
      <c r="H39" s="81"/>
      <c r="I39" s="81"/>
      <c r="J39" s="81"/>
    </row>
  </sheetData>
  <sheetProtection/>
  <printOptions horizontalCentered="1"/>
  <pageMargins left="0" right="0" top="1" bottom="1" header="0.5" footer="0.25"/>
  <pageSetup horizontalDpi="600" verticalDpi="600" orientation="landscape" r:id="rId2"/>
  <headerFooter alignWithMargins="0">
    <oddFooter>&amp;C&amp;12- 3 -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F52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57421875" style="0" customWidth="1"/>
    <col min="2" max="2" width="50.7109375" style="0" customWidth="1"/>
    <col min="3" max="6" width="14.421875" style="81" customWidth="1"/>
  </cols>
  <sheetData>
    <row r="1" spans="1:6" ht="18">
      <c r="A1" s="910" t="s">
        <v>245</v>
      </c>
      <c r="B1" s="910"/>
      <c r="C1" s="910"/>
      <c r="D1" s="910"/>
      <c r="E1" s="910"/>
      <c r="F1" s="910"/>
    </row>
    <row r="2" spans="1:6" ht="18">
      <c r="A2" s="911" t="s">
        <v>61</v>
      </c>
      <c r="B2" s="911"/>
      <c r="C2" s="911"/>
      <c r="D2" s="911"/>
      <c r="E2" s="911"/>
      <c r="F2" s="911"/>
    </row>
    <row r="3" spans="1:6" ht="15.75">
      <c r="A3" s="912" t="s">
        <v>587</v>
      </c>
      <c r="B3" s="912"/>
      <c r="C3" s="912"/>
      <c r="D3" s="912"/>
      <c r="E3" s="912"/>
      <c r="F3" s="912"/>
    </row>
    <row r="4" spans="1:6" ht="12.75">
      <c r="A4" s="913" t="s">
        <v>16</v>
      </c>
      <c r="B4" s="913"/>
      <c r="C4" s="913"/>
      <c r="D4" s="913"/>
      <c r="E4" s="913"/>
      <c r="F4" s="913"/>
    </row>
    <row r="5" spans="1:6" ht="12.75">
      <c r="A5" s="664"/>
      <c r="B5" s="664"/>
      <c r="C5" s="664"/>
      <c r="D5" s="664"/>
      <c r="E5" s="664"/>
      <c r="F5" s="664"/>
    </row>
    <row r="6" spans="1:6" ht="12.75">
      <c r="A6" s="31"/>
      <c r="B6" s="32"/>
      <c r="C6" s="77"/>
      <c r="D6" s="77"/>
      <c r="E6" s="78"/>
      <c r="F6" s="78"/>
    </row>
    <row r="7" spans="1:6" ht="12.75">
      <c r="A7" s="33"/>
      <c r="B7" s="49"/>
      <c r="C7" s="51" t="s">
        <v>586</v>
      </c>
      <c r="D7" s="443" t="s">
        <v>434</v>
      </c>
      <c r="F7" s="51" t="s">
        <v>435</v>
      </c>
    </row>
    <row r="8" spans="1:6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ht="12.75">
      <c r="A10" s="34"/>
      <c r="B10" s="52"/>
      <c r="C10" s="79"/>
      <c r="D10" s="79"/>
      <c r="E10" s="80"/>
      <c r="F10" s="80"/>
    </row>
    <row r="11" spans="1:6" ht="12.75">
      <c r="A11" s="35"/>
      <c r="B11" s="36"/>
      <c r="C11" s="73"/>
      <c r="D11" s="73"/>
      <c r="E11" s="63"/>
      <c r="F11" s="63"/>
    </row>
    <row r="12" spans="1:2" ht="12.75">
      <c r="A12" s="53" t="s">
        <v>21</v>
      </c>
      <c r="B12" s="37"/>
    </row>
    <row r="13" spans="1:6" ht="12.75">
      <c r="A13" s="54" t="s">
        <v>22</v>
      </c>
      <c r="B13" s="28"/>
      <c r="F13" s="611"/>
    </row>
    <row r="14" spans="1:6" ht="12.75">
      <c r="A14" s="108">
        <v>29358</v>
      </c>
      <c r="B14" s="95" t="s">
        <v>308</v>
      </c>
      <c r="C14" s="803">
        <v>6209803.481</v>
      </c>
      <c r="D14" s="803">
        <v>6209892.7809999995</v>
      </c>
      <c r="E14" s="803">
        <v>-7823.60599999968</v>
      </c>
      <c r="F14" s="803">
        <f aca="true" t="shared" si="0" ref="F14:F24">D14+E14</f>
        <v>6202069.175</v>
      </c>
    </row>
    <row r="15" spans="1:6" ht="12.75">
      <c r="A15" s="108">
        <v>29359</v>
      </c>
      <c r="B15" s="95" t="s">
        <v>309</v>
      </c>
      <c r="C15" s="61">
        <v>1200</v>
      </c>
      <c r="D15" s="61">
        <v>1200</v>
      </c>
      <c r="E15" s="61">
        <v>0</v>
      </c>
      <c r="F15" s="61">
        <f t="shared" si="0"/>
        <v>1200</v>
      </c>
    </row>
    <row r="16" spans="1:6" ht="12.75">
      <c r="A16" s="108">
        <v>27920</v>
      </c>
      <c r="B16" s="95" t="s">
        <v>290</v>
      </c>
      <c r="C16" s="61">
        <v>8844.209</v>
      </c>
      <c r="D16" s="61">
        <v>8844.209</v>
      </c>
      <c r="E16" s="61">
        <v>0</v>
      </c>
      <c r="F16" s="61">
        <f t="shared" si="0"/>
        <v>8844.209</v>
      </c>
    </row>
    <row r="17" spans="1:6" ht="12.75">
      <c r="A17" s="108">
        <v>27921</v>
      </c>
      <c r="B17" s="95" t="s">
        <v>23</v>
      </c>
      <c r="C17" s="55">
        <v>513912.1</v>
      </c>
      <c r="D17" s="55">
        <v>523119.6</v>
      </c>
      <c r="E17" s="61">
        <v>-689.6349999999511</v>
      </c>
      <c r="F17" s="61">
        <f t="shared" si="0"/>
        <v>522429.965</v>
      </c>
    </row>
    <row r="18" spans="1:6" ht="12.75">
      <c r="A18" s="108">
        <v>27923</v>
      </c>
      <c r="B18" s="95" t="s">
        <v>24</v>
      </c>
      <c r="C18" s="55">
        <v>185406.78</v>
      </c>
      <c r="D18" s="55">
        <v>156742.98</v>
      </c>
      <c r="E18" s="61">
        <v>-2887.287000000011</v>
      </c>
      <c r="F18" s="61">
        <f t="shared" si="0"/>
        <v>153855.693</v>
      </c>
    </row>
    <row r="19" spans="1:6" ht="12.75">
      <c r="A19" s="108">
        <v>27924</v>
      </c>
      <c r="B19" s="95" t="s">
        <v>25</v>
      </c>
      <c r="C19" s="55">
        <v>82275.67</v>
      </c>
      <c r="D19" s="55">
        <v>96595.77</v>
      </c>
      <c r="E19" s="61">
        <v>0.036999999996623956</v>
      </c>
      <c r="F19" s="61">
        <f t="shared" si="0"/>
        <v>96595.807</v>
      </c>
    </row>
    <row r="20" spans="1:6" ht="12.75">
      <c r="A20" s="108">
        <v>29253</v>
      </c>
      <c r="B20" s="95" t="s">
        <v>26</v>
      </c>
      <c r="C20" s="55">
        <v>31067.318</v>
      </c>
      <c r="D20" s="55">
        <v>31039.417999999998</v>
      </c>
      <c r="E20" s="61">
        <v>-0.02599999999802094</v>
      </c>
      <c r="F20" s="61">
        <f t="shared" si="0"/>
        <v>31039.392</v>
      </c>
    </row>
    <row r="21" spans="1:6" ht="12.75">
      <c r="A21" s="108">
        <v>29290</v>
      </c>
      <c r="B21" s="95" t="s">
        <v>27</v>
      </c>
      <c r="C21" s="55">
        <v>241305.509</v>
      </c>
      <c r="D21" s="55">
        <v>270970.065</v>
      </c>
      <c r="E21" s="61">
        <v>139.0360000000219</v>
      </c>
      <c r="F21" s="61">
        <f t="shared" si="0"/>
        <v>271109.101</v>
      </c>
    </row>
    <row r="22" spans="1:6" ht="12.75">
      <c r="A22" s="108">
        <v>29605</v>
      </c>
      <c r="B22" s="95" t="s">
        <v>28</v>
      </c>
      <c r="C22" s="55">
        <v>435476.767</v>
      </c>
      <c r="D22" s="55">
        <v>435476.767</v>
      </c>
      <c r="E22" s="61">
        <v>0</v>
      </c>
      <c r="F22" s="61">
        <f t="shared" si="0"/>
        <v>435476.767</v>
      </c>
    </row>
    <row r="23" spans="1:6" ht="12.75">
      <c r="A23" s="108">
        <v>29606</v>
      </c>
      <c r="B23" s="95" t="s">
        <v>29</v>
      </c>
      <c r="C23" s="55">
        <v>33804.481</v>
      </c>
      <c r="D23" s="55">
        <v>33804.481</v>
      </c>
      <c r="E23" s="61">
        <v>0</v>
      </c>
      <c r="F23" s="61">
        <f t="shared" si="0"/>
        <v>33804.481</v>
      </c>
    </row>
    <row r="24" spans="1:6" ht="12.75">
      <c r="A24" s="108">
        <v>29627</v>
      </c>
      <c r="B24" s="95" t="s">
        <v>0</v>
      </c>
      <c r="C24" s="55">
        <v>23207.561</v>
      </c>
      <c r="D24" s="55">
        <v>27222.504</v>
      </c>
      <c r="E24" s="61">
        <v>-0.049999999999272404</v>
      </c>
      <c r="F24" s="61">
        <f t="shared" si="0"/>
        <v>27222.454</v>
      </c>
    </row>
    <row r="25" spans="1:6" ht="12.75">
      <c r="A25" s="108"/>
      <c r="B25" s="107"/>
      <c r="C25" s="187"/>
      <c r="D25" s="187"/>
      <c r="E25" s="186"/>
      <c r="F25" s="710"/>
    </row>
    <row r="26" spans="1:6" ht="12.75">
      <c r="A26" s="844" t="s">
        <v>30</v>
      </c>
      <c r="B26" s="96"/>
      <c r="C26" s="89">
        <f>SUM(C14:C25)</f>
        <v>7766303.875999998</v>
      </c>
      <c r="D26" s="89">
        <f>SUM(D14:D25)</f>
        <v>7794908.574999998</v>
      </c>
      <c r="E26" s="89">
        <f>SUM(E14:E25)</f>
        <v>-11261.53099999962</v>
      </c>
      <c r="F26" s="89">
        <f>SUM(F14:F25)</f>
        <v>7783647.043999999</v>
      </c>
    </row>
    <row r="27" spans="1:6" ht="12.75">
      <c r="A27" s="109" t="s">
        <v>31</v>
      </c>
      <c r="B27" s="108"/>
      <c r="C27" s="29"/>
      <c r="D27" s="29"/>
      <c r="E27" s="30"/>
      <c r="F27" s="76"/>
    </row>
    <row r="28" spans="1:6" ht="12.75">
      <c r="A28" s="108">
        <v>27900</v>
      </c>
      <c r="B28" s="95" t="s">
        <v>32</v>
      </c>
      <c r="C28" s="803">
        <v>7612.46</v>
      </c>
      <c r="D28" s="834">
        <v>7612.46</v>
      </c>
      <c r="E28" s="803">
        <v>1670.5</v>
      </c>
      <c r="F28" s="803">
        <f aca="true" t="shared" si="1" ref="F28:F48">D28+E28</f>
        <v>9282.96</v>
      </c>
    </row>
    <row r="29" spans="1:6" ht="12.75">
      <c r="A29" s="808">
        <v>27902</v>
      </c>
      <c r="B29" s="809" t="s">
        <v>550</v>
      </c>
      <c r="C29" s="810">
        <v>304998.708</v>
      </c>
      <c r="D29" s="711">
        <v>299472.37299999996</v>
      </c>
      <c r="E29" s="811">
        <v>4998.7</v>
      </c>
      <c r="F29" s="811">
        <f t="shared" si="1"/>
        <v>304471.073</v>
      </c>
    </row>
    <row r="30" spans="1:6" ht="12.75">
      <c r="A30" s="808">
        <v>27904</v>
      </c>
      <c r="B30" s="809" t="s">
        <v>551</v>
      </c>
      <c r="C30" s="812">
        <v>0</v>
      </c>
      <c r="D30" s="711">
        <v>0</v>
      </c>
      <c r="E30" s="812">
        <v>400</v>
      </c>
      <c r="F30" s="811">
        <v>400</v>
      </c>
    </row>
    <row r="31" spans="1:6" ht="12.75">
      <c r="A31" s="808">
        <v>27906</v>
      </c>
      <c r="B31" s="809" t="s">
        <v>33</v>
      </c>
      <c r="C31" s="810">
        <v>17500</v>
      </c>
      <c r="D31" s="711">
        <v>17500</v>
      </c>
      <c r="E31" s="812">
        <v>-2500</v>
      </c>
      <c r="F31" s="811">
        <f t="shared" si="1"/>
        <v>15000</v>
      </c>
    </row>
    <row r="32" spans="1:6" ht="12.75">
      <c r="A32" s="808">
        <v>27907</v>
      </c>
      <c r="B32" s="809" t="s">
        <v>34</v>
      </c>
      <c r="C32" s="810">
        <v>74500.443</v>
      </c>
      <c r="D32" s="711">
        <v>74936.41100000001</v>
      </c>
      <c r="E32" s="812">
        <v>-363.88700000000244</v>
      </c>
      <c r="F32" s="811">
        <f t="shared" si="1"/>
        <v>74572.524</v>
      </c>
    </row>
    <row r="33" spans="1:6" ht="12.75">
      <c r="A33" s="808">
        <v>27910</v>
      </c>
      <c r="B33" s="95" t="s">
        <v>605</v>
      </c>
      <c r="C33" s="810">
        <v>0</v>
      </c>
      <c r="D33" s="711">
        <v>0</v>
      </c>
      <c r="E33" s="812">
        <v>387.921</v>
      </c>
      <c r="F33" s="811">
        <f t="shared" si="1"/>
        <v>387.921</v>
      </c>
    </row>
    <row r="34" spans="1:6" ht="12.75">
      <c r="A34" s="808">
        <v>27914</v>
      </c>
      <c r="B34" s="809" t="s">
        <v>588</v>
      </c>
      <c r="C34" s="810">
        <v>20747.25</v>
      </c>
      <c r="D34" s="711">
        <v>20747.25</v>
      </c>
      <c r="E34" s="812">
        <v>0</v>
      </c>
      <c r="F34" s="811">
        <f t="shared" si="1"/>
        <v>20747.25</v>
      </c>
    </row>
    <row r="35" spans="1:6" ht="12.75">
      <c r="A35" s="808">
        <v>29255</v>
      </c>
      <c r="B35" s="809" t="s">
        <v>35</v>
      </c>
      <c r="C35" s="810">
        <v>539274.438</v>
      </c>
      <c r="D35" s="711">
        <v>506129.73799999995</v>
      </c>
      <c r="E35" s="812">
        <v>-26957.589999999967</v>
      </c>
      <c r="F35" s="811">
        <f t="shared" si="1"/>
        <v>479172.148</v>
      </c>
    </row>
    <row r="36" spans="1:6" ht="12.75">
      <c r="A36" s="808">
        <v>29260</v>
      </c>
      <c r="B36" s="809" t="s">
        <v>296</v>
      </c>
      <c r="C36" s="810">
        <v>30285.596</v>
      </c>
      <c r="D36" s="711">
        <v>30285.596</v>
      </c>
      <c r="E36" s="812">
        <v>393.3239999999969</v>
      </c>
      <c r="F36" s="811">
        <f t="shared" si="1"/>
        <v>30678.92</v>
      </c>
    </row>
    <row r="37" spans="1:6" ht="12.75">
      <c r="A37" s="808">
        <v>29261</v>
      </c>
      <c r="B37" s="809" t="s">
        <v>62</v>
      </c>
      <c r="C37" s="813">
        <v>19349.695</v>
      </c>
      <c r="D37" s="711">
        <v>18904.151</v>
      </c>
      <c r="E37" s="812">
        <v>365.7619999999988</v>
      </c>
      <c r="F37" s="811">
        <f t="shared" si="1"/>
        <v>19269.913</v>
      </c>
    </row>
    <row r="38" spans="1:6" ht="12.75">
      <c r="A38" s="108">
        <v>29262</v>
      </c>
      <c r="B38" s="95" t="s">
        <v>36</v>
      </c>
      <c r="C38" s="55">
        <v>14734.075</v>
      </c>
      <c r="D38" s="711">
        <v>14786.851000000002</v>
      </c>
      <c r="E38" s="61">
        <v>0.04199999999764259</v>
      </c>
      <c r="F38" s="711">
        <f t="shared" si="1"/>
        <v>14786.893</v>
      </c>
    </row>
    <row r="39" spans="1:6" ht="12.75">
      <c r="A39" s="108">
        <v>29275</v>
      </c>
      <c r="B39" s="95" t="s">
        <v>37</v>
      </c>
      <c r="C39" s="55">
        <v>8073.137</v>
      </c>
      <c r="D39" s="711">
        <v>8041.737</v>
      </c>
      <c r="E39" s="61">
        <v>-1.8869999999997162</v>
      </c>
      <c r="F39" s="711">
        <f t="shared" si="1"/>
        <v>8039.85</v>
      </c>
    </row>
    <row r="40" spans="1:6" ht="12.75">
      <c r="A40" s="108">
        <v>29292</v>
      </c>
      <c r="B40" s="95" t="s">
        <v>38</v>
      </c>
      <c r="C40" s="55">
        <v>10000</v>
      </c>
      <c r="D40" s="711">
        <v>10000</v>
      </c>
      <c r="E40" s="61">
        <v>-5357.424</v>
      </c>
      <c r="F40" s="711">
        <f t="shared" si="1"/>
        <v>4642.576</v>
      </c>
    </row>
    <row r="41" spans="1:6" ht="12.75">
      <c r="A41" s="108">
        <v>29295</v>
      </c>
      <c r="B41" s="95" t="s">
        <v>39</v>
      </c>
      <c r="C41" s="55">
        <v>135009.017</v>
      </c>
      <c r="D41" s="711">
        <v>135009.017</v>
      </c>
      <c r="E41" s="61">
        <v>-10739.16799999999</v>
      </c>
      <c r="F41" s="711">
        <f t="shared" si="1"/>
        <v>124269.849</v>
      </c>
    </row>
    <row r="42" spans="1:6" ht="12.75">
      <c r="A42" s="108">
        <v>29356</v>
      </c>
      <c r="B42" s="95" t="s">
        <v>534</v>
      </c>
      <c r="C42" s="55">
        <v>7028.996</v>
      </c>
      <c r="D42" s="711">
        <v>7028.996</v>
      </c>
      <c r="E42" s="61">
        <v>-1.905999999999949</v>
      </c>
      <c r="F42" s="711">
        <f t="shared" si="1"/>
        <v>7027.09</v>
      </c>
    </row>
    <row r="43" spans="1:6" ht="12.75">
      <c r="A43" s="108">
        <v>29603</v>
      </c>
      <c r="B43" s="95" t="s">
        <v>40</v>
      </c>
      <c r="C43" s="56">
        <v>3462.309</v>
      </c>
      <c r="D43" s="711">
        <v>3462.309</v>
      </c>
      <c r="E43" s="61">
        <v>456.2339999999999</v>
      </c>
      <c r="F43" s="711">
        <f t="shared" si="1"/>
        <v>3918.543</v>
      </c>
    </row>
    <row r="44" spans="1:6" ht="12.75">
      <c r="A44" s="108">
        <v>29614</v>
      </c>
      <c r="B44" s="95" t="s">
        <v>589</v>
      </c>
      <c r="C44" s="56">
        <v>224946.63</v>
      </c>
      <c r="D44" s="711">
        <v>224946.63</v>
      </c>
      <c r="E44" s="61">
        <v>0</v>
      </c>
      <c r="F44" s="711">
        <f t="shared" si="1"/>
        <v>224946.63</v>
      </c>
    </row>
    <row r="45" spans="1:6" ht="12.75">
      <c r="A45" s="108">
        <v>29617</v>
      </c>
      <c r="B45" s="95" t="s">
        <v>297</v>
      </c>
      <c r="C45" s="55">
        <v>4300</v>
      </c>
      <c r="D45" s="711">
        <v>4300</v>
      </c>
      <c r="E45" s="61">
        <v>0</v>
      </c>
      <c r="F45" s="711">
        <f t="shared" si="1"/>
        <v>4300</v>
      </c>
    </row>
    <row r="46" spans="1:6" ht="12.75">
      <c r="A46" s="108" t="s">
        <v>41</v>
      </c>
      <c r="B46" s="95" t="s">
        <v>84</v>
      </c>
      <c r="C46" s="55">
        <v>15000</v>
      </c>
      <c r="D46" s="711">
        <v>15000</v>
      </c>
      <c r="E46" s="61">
        <v>-600</v>
      </c>
      <c r="F46" s="711">
        <f t="shared" si="1"/>
        <v>14400</v>
      </c>
    </row>
    <row r="47" spans="1:6" ht="12.75">
      <c r="A47" s="110">
        <v>29624</v>
      </c>
      <c r="B47" s="95" t="s">
        <v>517</v>
      </c>
      <c r="C47" s="55">
        <v>50000</v>
      </c>
      <c r="D47" s="711">
        <v>50000</v>
      </c>
      <c r="E47" s="61">
        <v>-2814.1849999999977</v>
      </c>
      <c r="F47" s="711">
        <f t="shared" si="1"/>
        <v>47185.815</v>
      </c>
    </row>
    <row r="48" spans="1:6" ht="12.75">
      <c r="A48" s="110">
        <v>30400</v>
      </c>
      <c r="B48" s="95" t="s">
        <v>310</v>
      </c>
      <c r="C48" s="55">
        <v>334.801</v>
      </c>
      <c r="D48" s="711">
        <v>334.801</v>
      </c>
      <c r="E48" s="61">
        <v>189.649</v>
      </c>
      <c r="F48" s="711">
        <f t="shared" si="1"/>
        <v>524.45</v>
      </c>
    </row>
    <row r="49" spans="1:6" ht="12.75">
      <c r="A49" s="110"/>
      <c r="B49" s="95"/>
      <c r="C49" s="55"/>
      <c r="D49" s="55"/>
      <c r="E49" s="188"/>
      <c r="F49" s="711"/>
    </row>
    <row r="50" spans="1:6" ht="12.75">
      <c r="A50" s="844" t="s">
        <v>42</v>
      </c>
      <c r="B50" s="177"/>
      <c r="C50" s="89">
        <f>SUM(C28:C49)</f>
        <v>1487157.5549999997</v>
      </c>
      <c r="D50" s="89">
        <f>SUM(D28:D49)</f>
        <v>1448498.3199999998</v>
      </c>
      <c r="E50" s="89">
        <f>SUM(E28:E49)</f>
        <v>-40473.91499999997</v>
      </c>
      <c r="F50" s="89">
        <f>SUM(F28:F49)</f>
        <v>1408024.405</v>
      </c>
    </row>
    <row r="51" spans="1:6" ht="12.75">
      <c r="A51" s="844" t="s">
        <v>43</v>
      </c>
      <c r="B51" s="178"/>
      <c r="C51" s="89">
        <f>C26+C50</f>
        <v>9253461.430999998</v>
      </c>
      <c r="D51" s="89">
        <f>D26+D50</f>
        <v>9243406.894999998</v>
      </c>
      <c r="E51" s="89">
        <f>E26+E50</f>
        <v>-51735.44599999959</v>
      </c>
      <c r="F51" s="89">
        <f>F26+F50</f>
        <v>9191671.449</v>
      </c>
    </row>
    <row r="52" spans="1:6" ht="12.75">
      <c r="A52" s="39"/>
      <c r="B52" s="39"/>
      <c r="C52" s="40" t="s">
        <v>2</v>
      </c>
      <c r="D52" s="784"/>
      <c r="E52" s="782"/>
      <c r="F52" s="783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85" r:id="rId1"/>
  <headerFooter alignWithMargins="0">
    <oddFooter>&amp;C&amp;12- 4 -</oddFooter>
  </headerFooter>
  <ignoredErrors>
    <ignoredError sqref="A4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140625" style="0" customWidth="1"/>
    <col min="2" max="2" width="46.421875" style="0" customWidth="1"/>
    <col min="3" max="6" width="11.7109375" style="81" customWidth="1"/>
  </cols>
  <sheetData>
    <row r="1" spans="1:6" ht="18">
      <c r="A1" s="910" t="s">
        <v>245</v>
      </c>
      <c r="B1" s="910"/>
      <c r="C1" s="910"/>
      <c r="D1" s="910"/>
      <c r="E1" s="910"/>
      <c r="F1" s="910"/>
    </row>
    <row r="2" spans="1:6" ht="18">
      <c r="A2" s="911" t="s">
        <v>61</v>
      </c>
      <c r="B2" s="911"/>
      <c r="C2" s="911"/>
      <c r="D2" s="911"/>
      <c r="E2" s="911"/>
      <c r="F2" s="911"/>
    </row>
    <row r="3" spans="1:6" ht="15.75">
      <c r="A3" s="912" t="str">
        <f>+'Revenue Budget Update_1 of 4'!A3:F3</f>
        <v>FY 2015 Year-End Close</v>
      </c>
      <c r="B3" s="912"/>
      <c r="C3" s="912"/>
      <c r="D3" s="912"/>
      <c r="E3" s="912"/>
      <c r="F3" s="912"/>
    </row>
    <row r="4" spans="1:6" ht="12.75">
      <c r="A4" s="913" t="s">
        <v>16</v>
      </c>
      <c r="B4" s="913"/>
      <c r="C4" s="913"/>
      <c r="D4" s="913"/>
      <c r="E4" s="913"/>
      <c r="F4" s="913"/>
    </row>
    <row r="5" spans="1:6" ht="12.75">
      <c r="A5" s="664"/>
      <c r="B5" s="664"/>
      <c r="C5" s="664"/>
      <c r="D5" s="664"/>
      <c r="E5" s="664"/>
      <c r="F5" s="664"/>
    </row>
    <row r="6" spans="1:6" ht="12.75">
      <c r="A6" s="31"/>
      <c r="B6" s="32"/>
      <c r="C6" s="77"/>
      <c r="D6" s="77"/>
      <c r="E6" s="78"/>
      <c r="F6" s="78"/>
    </row>
    <row r="7" spans="1:6" ht="12.75">
      <c r="A7" s="33"/>
      <c r="B7" s="49"/>
      <c r="C7" s="51" t="str">
        <f>+'Revenue Budget Update_1 of 4'!C7</f>
        <v>FY 2015</v>
      </c>
      <c r="D7" s="443" t="s">
        <v>434</v>
      </c>
      <c r="F7" s="193" t="s">
        <v>435</v>
      </c>
    </row>
    <row r="8" spans="1:6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ht="12.75">
      <c r="A10" s="34"/>
      <c r="B10" s="52"/>
      <c r="C10" s="79"/>
      <c r="D10" s="79"/>
      <c r="E10" s="80"/>
      <c r="F10" s="80"/>
    </row>
    <row r="11" spans="1:6" ht="12.75">
      <c r="A11" s="35"/>
      <c r="B11" s="36"/>
      <c r="C11" s="73"/>
      <c r="D11" s="73"/>
      <c r="E11" s="63"/>
      <c r="F11" s="63"/>
    </row>
    <row r="12" spans="1:6" ht="12.75">
      <c r="A12" s="111" t="s">
        <v>44</v>
      </c>
      <c r="B12" s="97"/>
      <c r="C12" s="41"/>
      <c r="D12" s="41"/>
      <c r="E12" s="30"/>
      <c r="F12" s="75"/>
    </row>
    <row r="13" spans="1:6" ht="12.75">
      <c r="A13" s="110" t="s">
        <v>477</v>
      </c>
      <c r="B13" s="95" t="s">
        <v>478</v>
      </c>
      <c r="C13" s="804">
        <v>67000</v>
      </c>
      <c r="D13" s="803">
        <v>67000</v>
      </c>
      <c r="E13" s="803">
        <v>-39549.996</v>
      </c>
      <c r="F13" s="803">
        <f>D13+E13</f>
        <v>27450.004</v>
      </c>
    </row>
    <row r="14" spans="1:6" ht="12.75">
      <c r="A14" s="110">
        <v>13022</v>
      </c>
      <c r="B14" s="95" t="s">
        <v>259</v>
      </c>
      <c r="C14" s="55">
        <v>16691.458</v>
      </c>
      <c r="D14" s="188">
        <v>16691.458</v>
      </c>
      <c r="E14" s="188">
        <v>-966.0569999999989</v>
      </c>
      <c r="F14" s="75">
        <f aca="true" t="shared" si="0" ref="F14:F40">D14+E14</f>
        <v>15725.401</v>
      </c>
    </row>
    <row r="15" spans="1:6" ht="12.75">
      <c r="A15" s="110" t="s">
        <v>45</v>
      </c>
      <c r="B15" s="95" t="s">
        <v>300</v>
      </c>
      <c r="C15" s="55">
        <v>21038.101</v>
      </c>
      <c r="D15" s="188">
        <v>21038.101</v>
      </c>
      <c r="E15" s="188">
        <v>12605.004000000004</v>
      </c>
      <c r="F15" s="75">
        <f t="shared" si="0"/>
        <v>33643.105</v>
      </c>
    </row>
    <row r="16" spans="1:6" ht="12.75">
      <c r="A16" s="110" t="s">
        <v>46</v>
      </c>
      <c r="B16" s="95" t="s">
        <v>63</v>
      </c>
      <c r="C16" s="55">
        <v>300476.353</v>
      </c>
      <c r="D16" s="188">
        <v>300476.353</v>
      </c>
      <c r="E16" s="188">
        <v>-958.4199999999837</v>
      </c>
      <c r="F16" s="75">
        <f t="shared" si="0"/>
        <v>299517.933</v>
      </c>
    </row>
    <row r="17" spans="1:6" ht="12.75">
      <c r="A17" s="110" t="s">
        <v>47</v>
      </c>
      <c r="B17" s="95" t="s">
        <v>48</v>
      </c>
      <c r="C17" s="55">
        <v>14294.282</v>
      </c>
      <c r="D17" s="188">
        <v>14294.282</v>
      </c>
      <c r="E17" s="188">
        <v>-1079.6169999999984</v>
      </c>
      <c r="F17" s="75">
        <f t="shared" si="0"/>
        <v>13214.665</v>
      </c>
    </row>
    <row r="18" spans="1:6" ht="12.75">
      <c r="A18" s="110" t="s">
        <v>49</v>
      </c>
      <c r="B18" s="95" t="s">
        <v>50</v>
      </c>
      <c r="C18" s="55">
        <v>61962.643</v>
      </c>
      <c r="D18" s="188">
        <v>61962.643</v>
      </c>
      <c r="E18" s="188">
        <v>5579.652000000002</v>
      </c>
      <c r="F18" s="75">
        <f t="shared" si="0"/>
        <v>67542.295</v>
      </c>
    </row>
    <row r="19" spans="1:6" ht="12.75">
      <c r="A19" s="113" t="s">
        <v>64</v>
      </c>
      <c r="B19" s="95" t="s">
        <v>51</v>
      </c>
      <c r="C19" s="56">
        <v>730847.053</v>
      </c>
      <c r="D19" s="188">
        <v>679101.1229999999</v>
      </c>
      <c r="E19" s="188">
        <v>-13862.42499999993</v>
      </c>
      <c r="F19" s="75">
        <f t="shared" si="0"/>
        <v>665238.698</v>
      </c>
    </row>
    <row r="20" spans="1:6" ht="12.75">
      <c r="A20" s="110" t="s">
        <v>65</v>
      </c>
      <c r="B20" s="95" t="s">
        <v>52</v>
      </c>
      <c r="C20" s="55">
        <v>15000</v>
      </c>
      <c r="D20" s="188">
        <v>15000</v>
      </c>
      <c r="E20" s="188">
        <v>-7499.999</v>
      </c>
      <c r="F20" s="75">
        <f t="shared" si="0"/>
        <v>7500.001</v>
      </c>
    </row>
    <row r="21" spans="1:6" ht="12.75">
      <c r="A21" s="110" t="s">
        <v>53</v>
      </c>
      <c r="B21" s="95" t="s">
        <v>54</v>
      </c>
      <c r="C21" s="55">
        <v>269781.558</v>
      </c>
      <c r="D21" s="188">
        <v>269781.558</v>
      </c>
      <c r="E21" s="188">
        <v>0</v>
      </c>
      <c r="F21" s="75">
        <f t="shared" si="0"/>
        <v>269781.558</v>
      </c>
    </row>
    <row r="22" spans="1:6" ht="12.75">
      <c r="A22" s="110" t="s">
        <v>55</v>
      </c>
      <c r="B22" s="95" t="s">
        <v>298</v>
      </c>
      <c r="C22" s="55">
        <v>5250</v>
      </c>
      <c r="D22" s="188">
        <v>5250</v>
      </c>
      <c r="E22" s="188">
        <v>0</v>
      </c>
      <c r="F22" s="75">
        <f t="shared" si="0"/>
        <v>5250</v>
      </c>
    </row>
    <row r="23" spans="1:6" ht="12.75">
      <c r="A23" s="113" t="s">
        <v>66</v>
      </c>
      <c r="B23" s="95" t="s">
        <v>56</v>
      </c>
      <c r="C23" s="55">
        <v>18108.427</v>
      </c>
      <c r="D23" s="188">
        <v>18108.427</v>
      </c>
      <c r="E23" s="188">
        <v>7698.973000000002</v>
      </c>
      <c r="F23" s="75">
        <f t="shared" si="0"/>
        <v>25807.4</v>
      </c>
    </row>
    <row r="24" spans="1:6" ht="12.75">
      <c r="A24" s="110" t="s">
        <v>57</v>
      </c>
      <c r="B24" s="95" t="s">
        <v>251</v>
      </c>
      <c r="C24" s="61">
        <v>108000</v>
      </c>
      <c r="D24" s="189">
        <v>108000</v>
      </c>
      <c r="E24" s="189">
        <v>-2000</v>
      </c>
      <c r="F24" s="75">
        <f t="shared" si="0"/>
        <v>106000</v>
      </c>
    </row>
    <row r="25" spans="1:6" ht="12.75">
      <c r="A25" s="110" t="s">
        <v>58</v>
      </c>
      <c r="B25" s="95" t="s">
        <v>59</v>
      </c>
      <c r="C25" s="55">
        <v>10200</v>
      </c>
      <c r="D25" s="188">
        <v>10200</v>
      </c>
      <c r="E25" s="188">
        <v>-2000</v>
      </c>
      <c r="F25" s="75">
        <f t="shared" si="0"/>
        <v>8200</v>
      </c>
    </row>
    <row r="26" spans="1:6" ht="12.75">
      <c r="A26" s="110">
        <v>13928</v>
      </c>
      <c r="B26" s="95" t="s">
        <v>547</v>
      </c>
      <c r="C26" s="55">
        <v>0</v>
      </c>
      <c r="D26" s="188">
        <v>0</v>
      </c>
      <c r="E26" s="188">
        <v>364.092</v>
      </c>
      <c r="F26" s="75">
        <f t="shared" si="0"/>
        <v>364.092</v>
      </c>
    </row>
    <row r="27" spans="1:6" ht="12.75">
      <c r="A27" s="110">
        <v>13936</v>
      </c>
      <c r="B27" s="95" t="s">
        <v>299</v>
      </c>
      <c r="C27" s="55">
        <v>1550</v>
      </c>
      <c r="D27" s="817">
        <v>1550</v>
      </c>
      <c r="E27" s="817">
        <v>-50.58999999999992</v>
      </c>
      <c r="F27" s="818">
        <f t="shared" si="0"/>
        <v>1499.41</v>
      </c>
    </row>
    <row r="28" spans="1:6" ht="12.75">
      <c r="A28" s="110">
        <v>13939</v>
      </c>
      <c r="B28" s="95" t="s">
        <v>246</v>
      </c>
      <c r="C28" s="55">
        <v>21011.386</v>
      </c>
      <c r="D28" s="814">
        <v>21011.386</v>
      </c>
      <c r="E28" s="814">
        <v>-926.1959999999999</v>
      </c>
      <c r="F28" s="815">
        <f t="shared" si="0"/>
        <v>20085.19</v>
      </c>
    </row>
    <row r="29" spans="1:6" ht="12.75">
      <c r="A29" s="110" t="s">
        <v>247</v>
      </c>
      <c r="B29" s="95" t="s">
        <v>535</v>
      </c>
      <c r="C29" s="55">
        <v>34150.327</v>
      </c>
      <c r="D29" s="814">
        <v>34150.327</v>
      </c>
      <c r="E29" s="814">
        <v>0</v>
      </c>
      <c r="F29" s="815">
        <f t="shared" si="0"/>
        <v>34150.327</v>
      </c>
    </row>
    <row r="30" spans="1:6" ht="12.75">
      <c r="A30" s="113">
        <v>13942</v>
      </c>
      <c r="B30" s="95" t="s">
        <v>518</v>
      </c>
      <c r="C30" s="61">
        <v>0</v>
      </c>
      <c r="D30" s="814">
        <v>0</v>
      </c>
      <c r="E30" s="814">
        <v>2200</v>
      </c>
      <c r="F30" s="815">
        <f t="shared" si="0"/>
        <v>2200</v>
      </c>
    </row>
    <row r="31" spans="1:6" ht="12.75">
      <c r="A31" s="110">
        <v>13945</v>
      </c>
      <c r="B31" s="95" t="s">
        <v>519</v>
      </c>
      <c r="C31" s="30">
        <v>30000</v>
      </c>
      <c r="D31" s="814">
        <v>30000</v>
      </c>
      <c r="E31" s="814">
        <v>22428.83</v>
      </c>
      <c r="F31" s="814">
        <f t="shared" si="0"/>
        <v>52428.83</v>
      </c>
    </row>
    <row r="32" spans="1:6" ht="12.75">
      <c r="A32" s="835">
        <v>14711</v>
      </c>
      <c r="B32" s="99" t="s">
        <v>590</v>
      </c>
      <c r="C32" s="200">
        <v>178.616</v>
      </c>
      <c r="D32" s="816">
        <v>178.616</v>
      </c>
      <c r="E32" s="816">
        <v>-58.616000000000014</v>
      </c>
      <c r="F32" s="815">
        <f t="shared" si="0"/>
        <v>120</v>
      </c>
    </row>
    <row r="33" spans="1:6" ht="12.75">
      <c r="A33" s="565">
        <v>14711</v>
      </c>
      <c r="B33" s="98" t="s">
        <v>511</v>
      </c>
      <c r="C33" s="30">
        <v>1017.139</v>
      </c>
      <c r="D33" s="821">
        <v>1017.139</v>
      </c>
      <c r="E33" s="821">
        <v>-99.74900000000002</v>
      </c>
      <c r="F33" s="822">
        <f t="shared" si="0"/>
        <v>917.39</v>
      </c>
    </row>
    <row r="34" spans="1:6" ht="12.75">
      <c r="A34" s="835">
        <v>14711</v>
      </c>
      <c r="B34" s="95" t="s">
        <v>607</v>
      </c>
      <c r="C34" s="55">
        <v>0</v>
      </c>
      <c r="D34" s="188">
        <v>0</v>
      </c>
      <c r="E34" s="814">
        <v>603.688</v>
      </c>
      <c r="F34" s="814">
        <f t="shared" si="0"/>
        <v>603.688</v>
      </c>
    </row>
    <row r="35" spans="1:6" ht="12.75">
      <c r="A35" s="835">
        <v>14712</v>
      </c>
      <c r="B35" s="95" t="s">
        <v>608</v>
      </c>
      <c r="C35" s="55">
        <v>0</v>
      </c>
      <c r="D35" s="188">
        <v>0</v>
      </c>
      <c r="E35" s="814">
        <v>1311.296</v>
      </c>
      <c r="F35" s="814">
        <f t="shared" si="0"/>
        <v>1311.296</v>
      </c>
    </row>
    <row r="36" spans="1:6" ht="12.75">
      <c r="A36" s="565">
        <v>14714</v>
      </c>
      <c r="B36" s="98" t="s">
        <v>515</v>
      </c>
      <c r="C36" s="30">
        <v>9063.287</v>
      </c>
      <c r="D36" s="821">
        <v>9063.287</v>
      </c>
      <c r="E36" s="821">
        <v>16806.324</v>
      </c>
      <c r="F36" s="822">
        <f t="shared" si="0"/>
        <v>25869.611</v>
      </c>
    </row>
    <row r="37" spans="1:6" ht="12.75">
      <c r="A37" s="839">
        <v>14715</v>
      </c>
      <c r="B37" s="840" t="s">
        <v>546</v>
      </c>
      <c r="C37" s="61">
        <v>0</v>
      </c>
      <c r="D37" s="814">
        <v>0</v>
      </c>
      <c r="E37" s="821">
        <v>362.735</v>
      </c>
      <c r="F37" s="822">
        <f t="shared" si="0"/>
        <v>362.735</v>
      </c>
    </row>
    <row r="38" spans="1:6" ht="12.75">
      <c r="A38" s="839">
        <v>14716</v>
      </c>
      <c r="B38" s="840" t="s">
        <v>552</v>
      </c>
      <c r="C38" s="61">
        <v>0</v>
      </c>
      <c r="D38" s="814">
        <v>0</v>
      </c>
      <c r="E38" s="821">
        <v>17798.741</v>
      </c>
      <c r="F38" s="822">
        <f t="shared" si="0"/>
        <v>17798.741</v>
      </c>
    </row>
    <row r="39" spans="1:6" ht="12.75">
      <c r="A39" s="838" t="s">
        <v>606</v>
      </c>
      <c r="B39" s="99" t="s">
        <v>660</v>
      </c>
      <c r="C39" s="61">
        <v>0</v>
      </c>
      <c r="D39" s="814">
        <v>0</v>
      </c>
      <c r="E39" s="821">
        <v>30.592</v>
      </c>
      <c r="F39" s="822">
        <f t="shared" si="0"/>
        <v>30.592</v>
      </c>
    </row>
    <row r="40" spans="1:6" ht="12.75">
      <c r="A40" s="119" t="s">
        <v>536</v>
      </c>
      <c r="B40" s="99" t="s">
        <v>537</v>
      </c>
      <c r="C40" s="42">
        <v>0</v>
      </c>
      <c r="D40" s="819">
        <v>0</v>
      </c>
      <c r="E40" s="819">
        <v>8515.141</v>
      </c>
      <c r="F40" s="820">
        <f t="shared" si="0"/>
        <v>8515.141</v>
      </c>
    </row>
    <row r="41" spans="1:6" ht="12.75">
      <c r="A41" s="110"/>
      <c r="B41" s="98"/>
      <c r="C41" s="30"/>
      <c r="D41" s="30"/>
      <c r="E41" s="30"/>
      <c r="F41" s="75"/>
    </row>
    <row r="42" spans="1:6" ht="12.75">
      <c r="A42" s="845" t="s">
        <v>253</v>
      </c>
      <c r="B42" s="845"/>
      <c r="C42" s="94">
        <f>SUM(C13:C41)</f>
        <v>1735620.6299999997</v>
      </c>
      <c r="D42" s="94">
        <f>SUM(D13:D41)</f>
        <v>1683874.6999999997</v>
      </c>
      <c r="E42" s="94">
        <f>SUM(E13:E41)</f>
        <v>27253.40300000009</v>
      </c>
      <c r="F42" s="94">
        <f>SUM(F13:F41)</f>
        <v>1711128.103</v>
      </c>
    </row>
    <row r="43" spans="1:6" ht="12.75">
      <c r="A43" s="113"/>
      <c r="B43" s="95"/>
      <c r="C43" s="57"/>
      <c r="D43" s="57"/>
      <c r="E43" s="189"/>
      <c r="F43" s="74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&amp;C&amp;12- 5 -</oddFooter>
  </headerFooter>
  <ignoredErrors>
    <ignoredError sqref="A13 A15:A25 A29 A39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140625" style="0" customWidth="1"/>
    <col min="2" max="2" width="56.57421875" style="0" customWidth="1"/>
    <col min="3" max="6" width="11.7109375" style="81" customWidth="1"/>
  </cols>
  <sheetData>
    <row r="1" spans="1:6" ht="18" customHeight="1">
      <c r="A1" s="910" t="s">
        <v>245</v>
      </c>
      <c r="B1" s="910"/>
      <c r="C1" s="910"/>
      <c r="D1" s="910"/>
      <c r="E1" s="910"/>
      <c r="F1" s="910"/>
    </row>
    <row r="2" spans="1:6" ht="18" customHeight="1">
      <c r="A2" s="911" t="s">
        <v>61</v>
      </c>
      <c r="B2" s="911"/>
      <c r="C2" s="911"/>
      <c r="D2" s="911"/>
      <c r="E2" s="911"/>
      <c r="F2" s="911"/>
    </row>
    <row r="3" spans="1:6" ht="18" customHeight="1">
      <c r="A3" s="912" t="str">
        <f>+'Revenue Budget Update_1 of 4'!A3:F3</f>
        <v>FY 2015 Year-End Close</v>
      </c>
      <c r="B3" s="912"/>
      <c r="C3" s="912"/>
      <c r="D3" s="912"/>
      <c r="E3" s="912"/>
      <c r="F3" s="912"/>
    </row>
    <row r="4" spans="1:6" ht="18" customHeight="1">
      <c r="A4" s="913" t="s">
        <v>16</v>
      </c>
      <c r="B4" s="913"/>
      <c r="C4" s="913"/>
      <c r="D4" s="913"/>
      <c r="E4" s="913"/>
      <c r="F4" s="913"/>
    </row>
    <row r="5" spans="1:6" ht="12.75">
      <c r="A5" s="664"/>
      <c r="B5" s="664"/>
      <c r="C5" s="664"/>
      <c r="D5" s="664"/>
      <c r="E5" s="664"/>
      <c r="F5" s="664"/>
    </row>
    <row r="6" spans="1:6" ht="12.75">
      <c r="A6" s="31"/>
      <c r="B6" s="32"/>
      <c r="C6" s="77"/>
      <c r="D6" s="77"/>
      <c r="E6" s="78"/>
      <c r="F6" s="78"/>
    </row>
    <row r="7" spans="1:6" ht="12.75">
      <c r="A7" s="33"/>
      <c r="B7" s="49"/>
      <c r="C7" s="51" t="str">
        <f>+'Revenue Budget Update_2 of 4'!C7</f>
        <v>FY 2015</v>
      </c>
      <c r="D7" s="443" t="s">
        <v>434</v>
      </c>
      <c r="F7" s="193" t="s">
        <v>435</v>
      </c>
    </row>
    <row r="8" spans="1:6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ht="12.75">
      <c r="A10" s="34"/>
      <c r="B10" s="52"/>
      <c r="C10" s="79"/>
      <c r="D10" s="79"/>
      <c r="E10" s="80"/>
      <c r="F10" s="80"/>
    </row>
    <row r="11" spans="1:6" ht="12.75">
      <c r="A11" s="35"/>
      <c r="B11" s="36"/>
      <c r="C11" s="73"/>
      <c r="D11" s="73"/>
      <c r="E11" s="63"/>
      <c r="F11" s="63"/>
    </row>
    <row r="12" spans="1:6" ht="12.75">
      <c r="A12" s="112" t="s">
        <v>67</v>
      </c>
      <c r="B12" s="97"/>
      <c r="E12" s="42"/>
      <c r="F12" s="75"/>
    </row>
    <row r="13" spans="1:6" ht="12.75">
      <c r="A13" s="113" t="s">
        <v>68</v>
      </c>
      <c r="B13" s="713" t="s">
        <v>591</v>
      </c>
      <c r="C13" s="836">
        <v>0</v>
      </c>
      <c r="D13" s="803">
        <v>4.92</v>
      </c>
      <c r="E13" s="803">
        <v>0</v>
      </c>
      <c r="F13" s="803">
        <f aca="true" t="shared" si="0" ref="F13:F35">D13+E13</f>
        <v>4.92</v>
      </c>
    </row>
    <row r="14" spans="1:6" ht="12.75">
      <c r="A14" s="113" t="s">
        <v>68</v>
      </c>
      <c r="B14" s="713" t="s">
        <v>615</v>
      </c>
      <c r="C14" s="57">
        <v>0</v>
      </c>
      <c r="D14" s="30">
        <v>0</v>
      </c>
      <c r="E14" s="42">
        <v>324.918</v>
      </c>
      <c r="F14" s="42">
        <f t="shared" si="0"/>
        <v>324.918</v>
      </c>
    </row>
    <row r="15" spans="1:6" ht="12.75">
      <c r="A15" s="113" t="s">
        <v>68</v>
      </c>
      <c r="B15" s="713" t="s">
        <v>592</v>
      </c>
      <c r="C15" s="57">
        <v>0</v>
      </c>
      <c r="D15" s="30">
        <v>983.725</v>
      </c>
      <c r="E15" s="42">
        <v>-942.164</v>
      </c>
      <c r="F15" s="42">
        <f t="shared" si="0"/>
        <v>41.561000000000035</v>
      </c>
    </row>
    <row r="16" spans="1:6" ht="12.75">
      <c r="A16" s="113" t="s">
        <v>68</v>
      </c>
      <c r="B16" s="713" t="s">
        <v>594</v>
      </c>
      <c r="C16" s="57">
        <v>0</v>
      </c>
      <c r="D16" s="30">
        <v>13</v>
      </c>
      <c r="E16" s="42">
        <v>0</v>
      </c>
      <c r="F16" s="42">
        <f t="shared" si="0"/>
        <v>13</v>
      </c>
    </row>
    <row r="17" spans="1:6" ht="12.75">
      <c r="A17" s="113" t="s">
        <v>68</v>
      </c>
      <c r="B17" s="713" t="s">
        <v>593</v>
      </c>
      <c r="C17" s="57">
        <v>0</v>
      </c>
      <c r="D17" s="30">
        <v>5350.014999999999</v>
      </c>
      <c r="E17" s="42">
        <v>-689.278</v>
      </c>
      <c r="F17" s="42">
        <f t="shared" si="0"/>
        <v>4660.736999999999</v>
      </c>
    </row>
    <row r="18" spans="1:6" ht="12.75">
      <c r="A18" s="113" t="s">
        <v>68</v>
      </c>
      <c r="B18" s="713" t="s">
        <v>595</v>
      </c>
      <c r="C18" s="57">
        <v>0</v>
      </c>
      <c r="D18" s="30">
        <v>13809.684</v>
      </c>
      <c r="E18" s="42">
        <v>393.848</v>
      </c>
      <c r="F18" s="42">
        <f t="shared" si="0"/>
        <v>14203.532</v>
      </c>
    </row>
    <row r="19" spans="1:6" ht="12.75">
      <c r="A19" s="113" t="s">
        <v>68</v>
      </c>
      <c r="B19" s="713" t="s">
        <v>596</v>
      </c>
      <c r="C19" s="57">
        <v>0</v>
      </c>
      <c r="D19" s="30">
        <v>6.3</v>
      </c>
      <c r="E19" s="42">
        <v>0</v>
      </c>
      <c r="F19" s="42">
        <f t="shared" si="0"/>
        <v>6.3</v>
      </c>
    </row>
    <row r="20" spans="1:6" ht="12.75">
      <c r="A20" s="113" t="s">
        <v>68</v>
      </c>
      <c r="B20" s="713" t="s">
        <v>597</v>
      </c>
      <c r="C20" s="57">
        <v>0</v>
      </c>
      <c r="D20" s="30">
        <v>14500</v>
      </c>
      <c r="E20" s="42">
        <v>-300</v>
      </c>
      <c r="F20" s="42">
        <f t="shared" si="0"/>
        <v>14200</v>
      </c>
    </row>
    <row r="21" spans="1:6" ht="12.75">
      <c r="A21" s="113" t="s">
        <v>68</v>
      </c>
      <c r="B21" s="95" t="s">
        <v>614</v>
      </c>
      <c r="C21" s="42">
        <v>0</v>
      </c>
      <c r="D21" s="30">
        <v>0</v>
      </c>
      <c r="E21" s="42">
        <v>17.794</v>
      </c>
      <c r="F21" s="42">
        <f t="shared" si="0"/>
        <v>17.794</v>
      </c>
    </row>
    <row r="22" spans="1:6" ht="12.75">
      <c r="A22" s="113" t="s">
        <v>68</v>
      </c>
      <c r="B22" s="713" t="s">
        <v>544</v>
      </c>
      <c r="C22" s="57">
        <v>0</v>
      </c>
      <c r="D22" s="30">
        <v>276.903</v>
      </c>
      <c r="E22" s="42">
        <v>0</v>
      </c>
      <c r="F22" s="42">
        <f t="shared" si="0"/>
        <v>276.903</v>
      </c>
    </row>
    <row r="23" spans="1:6" ht="12.75">
      <c r="A23" s="113" t="s">
        <v>68</v>
      </c>
      <c r="B23" s="713" t="s">
        <v>521</v>
      </c>
      <c r="C23" s="57">
        <v>0</v>
      </c>
      <c r="D23" s="30">
        <v>231.885</v>
      </c>
      <c r="E23" s="42">
        <v>0</v>
      </c>
      <c r="F23" s="42">
        <f t="shared" si="0"/>
        <v>231.885</v>
      </c>
    </row>
    <row r="24" spans="1:6" ht="12.75">
      <c r="A24" s="113" t="s">
        <v>68</v>
      </c>
      <c r="B24" s="713" t="s">
        <v>538</v>
      </c>
      <c r="C24" s="57">
        <f>(657826+72910)/1000</f>
        <v>730.736</v>
      </c>
      <c r="D24" s="30">
        <v>732.986</v>
      </c>
      <c r="E24" s="42">
        <v>0</v>
      </c>
      <c r="F24" s="42">
        <f t="shared" si="0"/>
        <v>732.986</v>
      </c>
    </row>
    <row r="25" spans="1:6" ht="12.75">
      <c r="A25" s="113" t="s">
        <v>68</v>
      </c>
      <c r="B25" s="713" t="s">
        <v>523</v>
      </c>
      <c r="C25" s="57">
        <f>2430300/1000</f>
        <v>2430.3</v>
      </c>
      <c r="D25" s="30">
        <v>2430.3</v>
      </c>
      <c r="E25" s="42">
        <v>0</v>
      </c>
      <c r="F25" s="42">
        <f t="shared" si="0"/>
        <v>2430.3</v>
      </c>
    </row>
    <row r="26" spans="1:6" ht="12.75">
      <c r="A26" s="113" t="s">
        <v>68</v>
      </c>
      <c r="B26" s="713" t="s">
        <v>522</v>
      </c>
      <c r="C26" s="57">
        <f>3063726/1000</f>
        <v>3063.726</v>
      </c>
      <c r="D26" s="30">
        <v>3070.224</v>
      </c>
      <c r="E26" s="42">
        <v>0</v>
      </c>
      <c r="F26" s="42">
        <f t="shared" si="0"/>
        <v>3070.224</v>
      </c>
    </row>
    <row r="27" spans="1:6" ht="12.75">
      <c r="A27" s="113" t="s">
        <v>68</v>
      </c>
      <c r="B27" s="713" t="s">
        <v>613</v>
      </c>
      <c r="C27" s="42">
        <v>0</v>
      </c>
      <c r="D27" s="30">
        <v>0</v>
      </c>
      <c r="E27" s="42">
        <v>2.137</v>
      </c>
      <c r="F27" s="42">
        <f t="shared" si="0"/>
        <v>2.137</v>
      </c>
    </row>
    <row r="28" spans="1:6" ht="12.75">
      <c r="A28" s="113" t="s">
        <v>68</v>
      </c>
      <c r="B28" s="713" t="s">
        <v>539</v>
      </c>
      <c r="C28" s="57">
        <v>0</v>
      </c>
      <c r="D28" s="30">
        <v>1220.189</v>
      </c>
      <c r="E28" s="42">
        <v>-31.727</v>
      </c>
      <c r="F28" s="42">
        <f t="shared" si="0"/>
        <v>1188.462</v>
      </c>
    </row>
    <row r="29" spans="1:6" ht="12.75">
      <c r="A29" s="113" t="s">
        <v>68</v>
      </c>
      <c r="B29" s="713" t="s">
        <v>598</v>
      </c>
      <c r="C29" s="57">
        <v>0</v>
      </c>
      <c r="D29" s="30">
        <v>16.69</v>
      </c>
      <c r="E29" s="42">
        <v>0</v>
      </c>
      <c r="F29" s="42">
        <f t="shared" si="0"/>
        <v>16.69</v>
      </c>
    </row>
    <row r="30" spans="1:6" ht="12.75">
      <c r="A30" s="113" t="s">
        <v>68</v>
      </c>
      <c r="B30" s="713" t="s">
        <v>599</v>
      </c>
      <c r="C30" s="57">
        <v>0</v>
      </c>
      <c r="D30" s="30">
        <v>50</v>
      </c>
      <c r="E30" s="42">
        <v>0</v>
      </c>
      <c r="F30" s="42">
        <f t="shared" si="0"/>
        <v>50</v>
      </c>
    </row>
    <row r="31" spans="1:6" ht="12.75">
      <c r="A31" s="113" t="s">
        <v>68</v>
      </c>
      <c r="B31" s="95" t="s">
        <v>520</v>
      </c>
      <c r="C31" s="57">
        <f>2000000/1000</f>
        <v>2000</v>
      </c>
      <c r="D31" s="30">
        <f>(2000000+996816)/1000</f>
        <v>2996.816</v>
      </c>
      <c r="E31" s="42">
        <v>0</v>
      </c>
      <c r="F31" s="42">
        <f t="shared" si="0"/>
        <v>2996.816</v>
      </c>
    </row>
    <row r="32" spans="1:6" ht="12.75">
      <c r="A32" s="113" t="s">
        <v>68</v>
      </c>
      <c r="B32" s="713" t="s">
        <v>600</v>
      </c>
      <c r="C32" s="57">
        <v>0</v>
      </c>
      <c r="D32" s="30">
        <v>27</v>
      </c>
      <c r="E32" s="42">
        <v>-2.746</v>
      </c>
      <c r="F32" s="42">
        <f t="shared" si="0"/>
        <v>24.254</v>
      </c>
    </row>
    <row r="33" spans="1:6" ht="12.75">
      <c r="A33" s="113" t="s">
        <v>68</v>
      </c>
      <c r="B33" s="713" t="s">
        <v>601</v>
      </c>
      <c r="C33" s="57">
        <v>0</v>
      </c>
      <c r="D33" s="30">
        <v>68.25</v>
      </c>
      <c r="E33" s="42">
        <v>0</v>
      </c>
      <c r="F33" s="42">
        <f t="shared" si="0"/>
        <v>68.25</v>
      </c>
    </row>
    <row r="34" spans="1:6" ht="12.75">
      <c r="A34" s="113" t="s">
        <v>68</v>
      </c>
      <c r="B34" s="713" t="s">
        <v>602</v>
      </c>
      <c r="C34" s="57">
        <v>0</v>
      </c>
      <c r="D34" s="30">
        <v>490.048</v>
      </c>
      <c r="E34" s="42">
        <v>0</v>
      </c>
      <c r="F34" s="42">
        <f t="shared" si="0"/>
        <v>490.048</v>
      </c>
    </row>
    <row r="35" spans="1:6" ht="12.75">
      <c r="A35" s="113" t="s">
        <v>68</v>
      </c>
      <c r="B35" s="713" t="s">
        <v>616</v>
      </c>
      <c r="C35" s="57">
        <v>0</v>
      </c>
      <c r="D35" s="30">
        <v>0</v>
      </c>
      <c r="E35" s="42">
        <v>100.705</v>
      </c>
      <c r="F35" s="42">
        <f t="shared" si="0"/>
        <v>100.705</v>
      </c>
    </row>
    <row r="36" spans="1:6" ht="12.75">
      <c r="A36" s="113" t="s">
        <v>69</v>
      </c>
      <c r="B36" s="95" t="s">
        <v>295</v>
      </c>
      <c r="C36" s="57">
        <f>100000/1000</f>
        <v>100</v>
      </c>
      <c r="D36" s="30">
        <v>100</v>
      </c>
      <c r="E36" s="42">
        <v>165.684</v>
      </c>
      <c r="F36" s="42">
        <f aca="true" t="shared" si="1" ref="F36:F42">D36+E36</f>
        <v>265.68399999999997</v>
      </c>
    </row>
    <row r="37" spans="1:6" ht="12.75">
      <c r="A37" s="712" t="s">
        <v>69</v>
      </c>
      <c r="B37" s="99" t="s">
        <v>617</v>
      </c>
      <c r="C37" s="42">
        <f>541787/1000</f>
        <v>541.787</v>
      </c>
      <c r="D37" s="30">
        <v>541.787</v>
      </c>
      <c r="E37" s="42">
        <v>-108.172</v>
      </c>
      <c r="F37" s="42">
        <f t="shared" si="1"/>
        <v>433.615</v>
      </c>
    </row>
    <row r="38" spans="1:6" ht="12.75">
      <c r="A38" s="113" t="s">
        <v>69</v>
      </c>
      <c r="B38" s="95" t="s">
        <v>609</v>
      </c>
      <c r="C38" s="57">
        <f>130980/1000</f>
        <v>130.98</v>
      </c>
      <c r="D38" s="30">
        <v>130.98</v>
      </c>
      <c r="E38" s="42">
        <v>-62.71</v>
      </c>
      <c r="F38" s="42">
        <f t="shared" si="1"/>
        <v>68.26999999999998</v>
      </c>
    </row>
    <row r="39" spans="1:6" ht="12.75">
      <c r="A39" s="113" t="s">
        <v>69</v>
      </c>
      <c r="B39" s="95" t="s">
        <v>603</v>
      </c>
      <c r="C39" s="57">
        <v>0</v>
      </c>
      <c r="D39" s="30">
        <v>1.915</v>
      </c>
      <c r="E39" s="42">
        <v>0</v>
      </c>
      <c r="F39" s="42">
        <f t="shared" si="1"/>
        <v>1.915</v>
      </c>
    </row>
    <row r="40" spans="1:6" ht="12.75">
      <c r="A40" s="113" t="s">
        <v>68</v>
      </c>
      <c r="B40" s="713" t="s">
        <v>610</v>
      </c>
      <c r="C40" s="57">
        <v>0</v>
      </c>
      <c r="D40" s="30">
        <v>0</v>
      </c>
      <c r="E40" s="42">
        <v>30.748</v>
      </c>
      <c r="F40" s="42">
        <f t="shared" si="1"/>
        <v>30.748</v>
      </c>
    </row>
    <row r="41" spans="1:6" ht="12.75">
      <c r="A41" s="113" t="s">
        <v>68</v>
      </c>
      <c r="B41" s="713" t="s">
        <v>611</v>
      </c>
      <c r="C41" s="57">
        <v>0</v>
      </c>
      <c r="D41" s="57">
        <v>0</v>
      </c>
      <c r="E41" s="42">
        <v>232.022</v>
      </c>
      <c r="F41" s="42">
        <f t="shared" si="1"/>
        <v>232.022</v>
      </c>
    </row>
    <row r="42" spans="1:6" ht="12.75">
      <c r="A42" s="113" t="s">
        <v>68</v>
      </c>
      <c r="B42" s="95" t="s">
        <v>612</v>
      </c>
      <c r="C42" s="57">
        <v>0</v>
      </c>
      <c r="D42" s="57">
        <v>0</v>
      </c>
      <c r="E42" s="42">
        <v>40.625</v>
      </c>
      <c r="F42" s="42">
        <f t="shared" si="1"/>
        <v>40.625</v>
      </c>
    </row>
    <row r="43" spans="1:6" ht="12.75">
      <c r="A43" s="114"/>
      <c r="B43" s="99"/>
      <c r="C43" s="42"/>
      <c r="D43" s="30"/>
      <c r="E43" s="42"/>
      <c r="F43" s="76"/>
    </row>
    <row r="44" spans="1:6" ht="12.75">
      <c r="A44" s="114"/>
      <c r="B44" s="99"/>
      <c r="C44" s="42"/>
      <c r="D44" s="30"/>
      <c r="E44" s="30"/>
      <c r="F44" s="75"/>
    </row>
    <row r="45" spans="1:6" ht="12.75">
      <c r="A45" s="846" t="s">
        <v>256</v>
      </c>
      <c r="B45" s="846"/>
      <c r="C45" s="89">
        <f>SUM(C13:C44)</f>
        <v>8997.529</v>
      </c>
      <c r="D45" s="89">
        <f>SUM(D13:D44)</f>
        <v>47053.617000000006</v>
      </c>
      <c r="E45" s="89">
        <f>SUM(E13:E44)</f>
        <v>-828.3160000000003</v>
      </c>
      <c r="F45" s="89">
        <f>SUM(F13:F44)</f>
        <v>46225.301</v>
      </c>
    </row>
    <row r="46" spans="3:6" ht="12.75">
      <c r="C46"/>
      <c r="D46"/>
      <c r="E46"/>
      <c r="F46"/>
    </row>
    <row r="47" spans="1:6" ht="12.75">
      <c r="A47" s="115" t="s">
        <v>70</v>
      </c>
      <c r="B47" s="100"/>
      <c r="C47" s="43"/>
      <c r="D47" s="43"/>
      <c r="E47" s="42"/>
      <c r="F47" s="76"/>
    </row>
    <row r="48" spans="1:6" ht="12.75">
      <c r="A48" s="116" t="s">
        <v>71</v>
      </c>
      <c r="B48" s="95" t="s">
        <v>72</v>
      </c>
      <c r="C48" s="836">
        <f>12750</f>
        <v>12750</v>
      </c>
      <c r="D48" s="803">
        <v>12750</v>
      </c>
      <c r="E48" s="803">
        <v>2000</v>
      </c>
      <c r="F48" s="803">
        <f>D48+E48</f>
        <v>14750</v>
      </c>
    </row>
    <row r="49" spans="1:6" ht="12.75">
      <c r="A49" s="113" t="s">
        <v>73</v>
      </c>
      <c r="B49" s="95" t="s">
        <v>74</v>
      </c>
      <c r="C49" s="57">
        <v>28000</v>
      </c>
      <c r="D49" s="57">
        <v>28000</v>
      </c>
      <c r="E49" s="188">
        <v>5500</v>
      </c>
      <c r="F49" s="74">
        <f>D49+E49</f>
        <v>33500</v>
      </c>
    </row>
    <row r="50" spans="1:6" ht="12.75">
      <c r="A50" s="116" t="s">
        <v>75</v>
      </c>
      <c r="B50" s="95" t="s">
        <v>76</v>
      </c>
      <c r="C50" s="57">
        <v>7000</v>
      </c>
      <c r="D50" s="57">
        <v>7000</v>
      </c>
      <c r="E50" s="188">
        <v>2350</v>
      </c>
      <c r="F50" s="74">
        <f>D50+E50</f>
        <v>9350</v>
      </c>
    </row>
    <row r="51" spans="1:6" ht="12.75">
      <c r="A51" s="113" t="s">
        <v>75</v>
      </c>
      <c r="B51" s="95" t="s">
        <v>77</v>
      </c>
      <c r="C51" s="57">
        <v>8174</v>
      </c>
      <c r="D51" s="57">
        <v>8174</v>
      </c>
      <c r="E51" s="188">
        <v>2727</v>
      </c>
      <c r="F51" s="74">
        <f>D51+E51</f>
        <v>10901</v>
      </c>
    </row>
    <row r="52" spans="1:6" ht="12.75">
      <c r="A52" s="117"/>
      <c r="B52" s="95"/>
      <c r="C52" s="61"/>
      <c r="D52" s="61"/>
      <c r="E52" s="42"/>
      <c r="F52" s="76"/>
    </row>
    <row r="53" spans="1:6" ht="12.75">
      <c r="A53" s="846" t="s">
        <v>255</v>
      </c>
      <c r="B53" s="846"/>
      <c r="C53" s="89">
        <f>SUM(C48:C52)</f>
        <v>55924</v>
      </c>
      <c r="D53" s="89">
        <f>SUM(D48:D52)</f>
        <v>55924</v>
      </c>
      <c r="E53" s="89">
        <f>SUM(E48:E52)</f>
        <v>12577</v>
      </c>
      <c r="F53" s="89">
        <f>SUM(F48:F52)</f>
        <v>68501</v>
      </c>
    </row>
    <row r="54" spans="3:6" ht="12.75">
      <c r="C54"/>
      <c r="D54"/>
      <c r="E54"/>
      <c r="F54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90" r:id="rId1"/>
  <headerFooter>
    <oddFooter>&amp;C&amp;12- 6 -</oddFooter>
  </headerFooter>
  <ignoredErrors>
    <ignoredError sqref="A13:A42 A48:A5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57421875" style="0" customWidth="1"/>
    <col min="2" max="2" width="42.421875" style="0" customWidth="1"/>
    <col min="3" max="6" width="12.7109375" style="81" customWidth="1"/>
  </cols>
  <sheetData>
    <row r="1" spans="1:6" ht="18">
      <c r="A1" s="910" t="s">
        <v>245</v>
      </c>
      <c r="B1" s="910"/>
      <c r="C1" s="910"/>
      <c r="D1" s="910"/>
      <c r="E1" s="910"/>
      <c r="F1" s="910"/>
    </row>
    <row r="2" spans="1:6" ht="18">
      <c r="A2" s="911" t="s">
        <v>61</v>
      </c>
      <c r="B2" s="911"/>
      <c r="C2" s="911"/>
      <c r="D2" s="911"/>
      <c r="E2" s="911"/>
      <c r="F2" s="911"/>
    </row>
    <row r="3" spans="1:6" ht="15.75">
      <c r="A3" s="912" t="str">
        <f>+'Revenue Budget Update_2 of 4'!A3:F3</f>
        <v>FY 2015 Year-End Close</v>
      </c>
      <c r="B3" s="912"/>
      <c r="C3" s="912"/>
      <c r="D3" s="912"/>
      <c r="E3" s="912"/>
      <c r="F3" s="912"/>
    </row>
    <row r="4" spans="1:6" ht="12.75">
      <c r="A4" s="913" t="s">
        <v>16</v>
      </c>
      <c r="B4" s="913"/>
      <c r="C4" s="913"/>
      <c r="D4" s="913"/>
      <c r="E4" s="913"/>
      <c r="F4" s="913"/>
    </row>
    <row r="5" spans="1:6" s="216" customFormat="1" ht="12.75">
      <c r="A5" s="664"/>
      <c r="B5" s="664"/>
      <c r="C5" s="664"/>
      <c r="D5" s="664"/>
      <c r="E5" s="664"/>
      <c r="F5" s="664"/>
    </row>
    <row r="6" spans="1:6" s="216" customFormat="1" ht="12.75">
      <c r="A6" s="31"/>
      <c r="B6" s="32"/>
      <c r="C6" s="77"/>
      <c r="D6" s="77"/>
      <c r="E6" s="78"/>
      <c r="F6" s="78"/>
    </row>
    <row r="7" spans="1:6" s="216" customFormat="1" ht="12.75">
      <c r="A7" s="33"/>
      <c r="B7" s="49"/>
      <c r="C7" s="51" t="str">
        <f>+'Revenue Budget Update_3 of 4'!C7</f>
        <v>FY 2015</v>
      </c>
      <c r="D7" s="443" t="s">
        <v>434</v>
      </c>
      <c r="E7" s="81"/>
      <c r="F7" s="193" t="s">
        <v>435</v>
      </c>
    </row>
    <row r="8" spans="1:6" s="216" customFormat="1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s="216" customFormat="1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s="216" customFormat="1" ht="12.75">
      <c r="A10" s="34"/>
      <c r="B10" s="52"/>
      <c r="C10" s="79"/>
      <c r="D10" s="79"/>
      <c r="E10" s="80"/>
      <c r="F10" s="80"/>
    </row>
    <row r="11" spans="1:6" s="216" customFormat="1" ht="12.75">
      <c r="A11" s="35"/>
      <c r="B11" s="36"/>
      <c r="C11" s="73"/>
      <c r="D11" s="73"/>
      <c r="E11" s="63"/>
      <c r="F11" s="63"/>
    </row>
    <row r="12" spans="1:6" s="216" customFormat="1" ht="12.75">
      <c r="A12" s="118" t="s">
        <v>78</v>
      </c>
      <c r="B12" s="95"/>
      <c r="C12" s="44"/>
      <c r="D12" s="44"/>
      <c r="E12" s="42"/>
      <c r="F12" s="76"/>
    </row>
    <row r="13" spans="1:6" s="216" customFormat="1" ht="12.75">
      <c r="A13" s="116">
        <v>31938</v>
      </c>
      <c r="B13" s="95" t="s">
        <v>281</v>
      </c>
      <c r="C13" s="837">
        <f>12165000/1000</f>
        <v>12165</v>
      </c>
      <c r="D13" s="803">
        <v>17214.875</v>
      </c>
      <c r="E13" s="803">
        <v>0</v>
      </c>
      <c r="F13" s="803">
        <f>+D13+E13</f>
        <v>17214.875</v>
      </c>
    </row>
    <row r="14" spans="1:6" s="216" customFormat="1" ht="12.75">
      <c r="A14" s="116" t="s">
        <v>79</v>
      </c>
      <c r="B14" s="95" t="s">
        <v>260</v>
      </c>
      <c r="C14" s="215">
        <f>50000000/1000</f>
        <v>50000</v>
      </c>
      <c r="D14" s="215">
        <v>50000</v>
      </c>
      <c r="E14" s="823">
        <v>11407.300000000003</v>
      </c>
      <c r="F14" s="824">
        <f aca="true" t="shared" si="0" ref="F14:F21">+D14+E14</f>
        <v>61407.3</v>
      </c>
    </row>
    <row r="15" spans="1:6" s="216" customFormat="1" ht="12.75">
      <c r="A15" s="119">
        <v>41905</v>
      </c>
      <c r="B15" s="95" t="s">
        <v>604</v>
      </c>
      <c r="C15" s="55">
        <f>44489930/1000</f>
        <v>44489.93</v>
      </c>
      <c r="D15" s="55">
        <v>64014.93</v>
      </c>
      <c r="E15" s="823">
        <v>1773.7699999999968</v>
      </c>
      <c r="F15" s="824">
        <f t="shared" si="0"/>
        <v>65788.7</v>
      </c>
    </row>
    <row r="16" spans="1:6" s="216" customFormat="1" ht="12.75">
      <c r="A16" s="119">
        <v>41911</v>
      </c>
      <c r="B16" s="95" t="s">
        <v>60</v>
      </c>
      <c r="C16" s="55">
        <f>1000000/1000</f>
        <v>1000</v>
      </c>
      <c r="D16" s="55">
        <v>1000</v>
      </c>
      <c r="E16" s="823">
        <v>-952.376</v>
      </c>
      <c r="F16" s="824">
        <f t="shared" si="0"/>
        <v>47.624000000000024</v>
      </c>
    </row>
    <row r="17" spans="1:6" s="216" customFormat="1" ht="12.75">
      <c r="A17" s="119">
        <v>41913</v>
      </c>
      <c r="B17" s="95" t="s">
        <v>549</v>
      </c>
      <c r="C17" s="55">
        <v>0</v>
      </c>
      <c r="D17" s="55">
        <v>0</v>
      </c>
      <c r="E17" s="823">
        <v>23.024</v>
      </c>
      <c r="F17" s="824">
        <f t="shared" si="0"/>
        <v>23.024</v>
      </c>
    </row>
    <row r="18" spans="1:6" s="216" customFormat="1" ht="12.75">
      <c r="A18" s="119">
        <v>41917</v>
      </c>
      <c r="B18" s="101" t="s">
        <v>291</v>
      </c>
      <c r="C18" s="45">
        <f>5096131/1000</f>
        <v>5096.131</v>
      </c>
      <c r="D18" s="55">
        <v>5326.77</v>
      </c>
      <c r="E18" s="823">
        <v>2967.9120000000003</v>
      </c>
      <c r="F18" s="824">
        <f t="shared" si="0"/>
        <v>8294.682</v>
      </c>
    </row>
    <row r="19" spans="1:6" s="216" customFormat="1" ht="12.75">
      <c r="A19" s="119">
        <v>44061</v>
      </c>
      <c r="B19" s="101" t="s">
        <v>545</v>
      </c>
      <c r="C19" s="45">
        <f>20000000/1000</f>
        <v>20000</v>
      </c>
      <c r="D19" s="55">
        <v>20000</v>
      </c>
      <c r="E19" s="823">
        <v>3342.2949999999983</v>
      </c>
      <c r="F19" s="824">
        <f t="shared" si="0"/>
        <v>23342.295</v>
      </c>
    </row>
    <row r="20" spans="1:6" s="216" customFormat="1" ht="12.75">
      <c r="A20" s="119">
        <v>44061</v>
      </c>
      <c r="B20" s="101" t="s">
        <v>661</v>
      </c>
      <c r="C20" s="45">
        <v>0</v>
      </c>
      <c r="D20" s="55">
        <v>0</v>
      </c>
      <c r="E20" s="823">
        <v>45.3</v>
      </c>
      <c r="F20" s="824">
        <f t="shared" si="0"/>
        <v>45.3</v>
      </c>
    </row>
    <row r="21" spans="1:6" s="216" customFormat="1" ht="12.75">
      <c r="A21" s="119">
        <v>45001</v>
      </c>
      <c r="B21" s="826" t="s">
        <v>548</v>
      </c>
      <c r="C21" s="45">
        <v>0</v>
      </c>
      <c r="D21" s="55">
        <v>0</v>
      </c>
      <c r="E21" s="823">
        <v>130003.922</v>
      </c>
      <c r="F21" s="824">
        <f t="shared" si="0"/>
        <v>130003.922</v>
      </c>
    </row>
    <row r="22" spans="1:6" s="216" customFormat="1" ht="12.75">
      <c r="A22" s="120"/>
      <c r="B22" s="101"/>
      <c r="C22" s="45"/>
      <c r="D22" s="45"/>
      <c r="E22" s="42"/>
      <c r="F22" s="76"/>
    </row>
    <row r="23" spans="1:6" s="216" customFormat="1" ht="12.75">
      <c r="A23" s="847" t="s">
        <v>254</v>
      </c>
      <c r="B23" s="46"/>
      <c r="C23" s="89">
        <f>SUM(C13:C22)</f>
        <v>132751.061</v>
      </c>
      <c r="D23" s="89">
        <f>SUM(D13:D22)</f>
        <v>157556.57499999998</v>
      </c>
      <c r="E23" s="89">
        <f>SUM(E13:E22)</f>
        <v>148611.147</v>
      </c>
      <c r="F23" s="89">
        <f>SUM(F13:F21)</f>
        <v>306167.722</v>
      </c>
    </row>
    <row r="24" spans="1:6" s="216" customFormat="1" ht="12.75">
      <c r="A24" s="47"/>
      <c r="B24" s="47"/>
      <c r="C24" s="90"/>
      <c r="D24" s="90"/>
      <c r="E24" s="91"/>
      <c r="F24" s="91"/>
    </row>
    <row r="25" spans="1:6" s="216" customFormat="1" ht="12.75">
      <c r="A25" s="114"/>
      <c r="B25" s="99"/>
      <c r="C25" s="92"/>
      <c r="D25" s="92"/>
      <c r="E25" s="92"/>
      <c r="F25" s="92"/>
    </row>
    <row r="26" spans="1:6" s="216" customFormat="1" ht="12.75">
      <c r="A26" s="848" t="s">
        <v>80</v>
      </c>
      <c r="B26" s="102"/>
      <c r="C26" s="89">
        <f>+'Revenue Budget Update_1 of 4'!C51+'Revenue Budget Update_2 of 4'!C42+'Revenue Budget Update_3 of 4'!C45+'Revenue Budget Update_3 of 4'!C53+'Revenue Budget Update_4 of 4'!C23</f>
        <v>11186754.650999997</v>
      </c>
      <c r="D26" s="89">
        <f>+'Revenue Budget Update_1 of 4'!D51+'Revenue Budget Update_2 of 4'!D42+'Revenue Budget Update_3 of 4'!D45+'Revenue Budget Update_3 of 4'!D53+'Revenue Budget Update_4 of 4'!D23</f>
        <v>11187815.786999997</v>
      </c>
      <c r="E26" s="89">
        <f>+'Revenue Budget Update_1 of 4'!E51+'Revenue Budget Update_2 of 4'!E42+'Revenue Budget Update_3 of 4'!E45+'Revenue Budget Update_3 of 4'!E53+'Revenue Budget Update_4 of 4'!E23</f>
        <v>135877.7880000005</v>
      </c>
      <c r="F26" s="89">
        <f>+'Revenue Budget Update_1 of 4'!F51+'Revenue Budget Update_2 of 4'!F42+'Revenue Budget Update_3 of 4'!F45+'Revenue Budget Update_3 of 4'!F53+'Revenue Budget Update_4 of 4'!F23</f>
        <v>11323693.575</v>
      </c>
    </row>
    <row r="27" spans="1:6" s="216" customFormat="1" ht="12.75">
      <c r="A27" s="849"/>
      <c r="B27" s="103"/>
      <c r="C27" s="93"/>
      <c r="D27" s="93"/>
      <c r="E27" s="93"/>
      <c r="F27" s="93"/>
    </row>
    <row r="28" spans="1:6" s="216" customFormat="1" ht="12.75">
      <c r="A28" s="848" t="s">
        <v>81</v>
      </c>
      <c r="B28" s="102"/>
      <c r="C28" s="89">
        <f>9616493302/1000</f>
        <v>9616493.302</v>
      </c>
      <c r="D28" s="89">
        <f>SUM(B28:C28)</f>
        <v>9616493.302</v>
      </c>
      <c r="E28" s="781">
        <v>129899.4</v>
      </c>
      <c r="F28" s="89">
        <f>+D28+E28</f>
        <v>9746392.702</v>
      </c>
    </row>
    <row r="29" spans="1:6" s="216" customFormat="1" ht="12.75">
      <c r="A29" s="104"/>
      <c r="B29" s="104"/>
      <c r="C29" s="82"/>
      <c r="D29" s="82"/>
      <c r="E29" s="83"/>
      <c r="F29" s="83"/>
    </row>
    <row r="30" spans="1:6" s="216" customFormat="1" ht="12.75">
      <c r="A30" s="104"/>
      <c r="B30" s="715" t="s">
        <v>257</v>
      </c>
      <c r="C30" s="82"/>
      <c r="D30" s="82"/>
      <c r="E30" s="82"/>
      <c r="F30" s="84"/>
    </row>
    <row r="31" spans="1:6" s="216" customFormat="1" ht="12.75">
      <c r="A31" s="104"/>
      <c r="B31" s="82" t="s">
        <v>512</v>
      </c>
      <c r="C31" s="82"/>
      <c r="D31" s="82"/>
      <c r="E31" s="82"/>
      <c r="F31" s="779">
        <v>-68501</v>
      </c>
    </row>
    <row r="32" spans="1:6" s="216" customFormat="1" ht="12.75">
      <c r="A32" s="104"/>
      <c r="B32" s="82" t="s">
        <v>513</v>
      </c>
      <c r="C32" s="82"/>
      <c r="D32" s="82"/>
      <c r="E32" s="85"/>
      <c r="F32" s="182">
        <v>-2500</v>
      </c>
    </row>
    <row r="33" spans="1:6" s="216" customFormat="1" ht="12.75">
      <c r="A33" s="104"/>
      <c r="B33" s="82" t="s">
        <v>514</v>
      </c>
      <c r="C33" s="82"/>
      <c r="D33" s="82"/>
      <c r="E33" s="85"/>
      <c r="F33" s="182">
        <v>4500</v>
      </c>
    </row>
    <row r="34" spans="1:6" s="730" customFormat="1" ht="12.75">
      <c r="A34" s="729"/>
      <c r="B34" s="850" t="s">
        <v>82</v>
      </c>
      <c r="C34" s="732"/>
      <c r="D34" s="732"/>
      <c r="E34" s="732"/>
      <c r="F34" s="780">
        <f>SUM(F31:F33)</f>
        <v>-66501</v>
      </c>
    </row>
    <row r="35" spans="1:6" s="730" customFormat="1" ht="12.75">
      <c r="A35" s="729"/>
      <c r="B35" s="731"/>
      <c r="C35" s="732"/>
      <c r="D35" s="732"/>
      <c r="E35" s="732"/>
      <c r="F35" s="769"/>
    </row>
    <row r="36" spans="1:6" s="730" customFormat="1" ht="12.75">
      <c r="A36" s="729"/>
      <c r="B36" s="731"/>
      <c r="C36" s="732"/>
      <c r="D36" s="732"/>
      <c r="E36" s="732"/>
      <c r="F36" s="769"/>
    </row>
    <row r="37" spans="1:6" s="216" customFormat="1" ht="13.5" thickBot="1">
      <c r="A37" s="104"/>
      <c r="B37" s="104"/>
      <c r="C37" s="82"/>
      <c r="D37" s="82"/>
      <c r="E37" s="82"/>
      <c r="F37" s="182"/>
    </row>
    <row r="38" spans="1:6" s="216" customFormat="1" ht="14.25" thickBot="1" thickTop="1">
      <c r="A38" s="179" t="s">
        <v>83</v>
      </c>
      <c r="B38" s="105"/>
      <c r="C38" s="86"/>
      <c r="D38" s="86"/>
      <c r="E38" s="86"/>
      <c r="F38" s="190">
        <f>F34+F28+F26</f>
        <v>21003585.277</v>
      </c>
    </row>
    <row r="39" spans="1:6" s="216" customFormat="1" ht="13.5" thickTop="1">
      <c r="A39" s="106"/>
      <c r="B39" s="106"/>
      <c r="C39" s="81"/>
      <c r="D39" s="81"/>
      <c r="E39" s="81"/>
      <c r="F39" s="87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&amp;C&amp;12- 7 -</oddFooter>
  </headerFooter>
  <ignoredErrors>
    <ignoredError sqref="A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pane ySplit="9" topLeftCell="A10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7109375" style="0" customWidth="1"/>
    <col min="2" max="2" width="50.28125" style="0" customWidth="1"/>
    <col min="3" max="3" width="13.00390625" style="0" customWidth="1"/>
    <col min="4" max="4" width="12.28125" style="0" customWidth="1"/>
    <col min="5" max="5" width="12.8515625" style="198" customWidth="1"/>
    <col min="6" max="6" width="13.28125" style="198" customWidth="1"/>
    <col min="7" max="7" width="12.28125" style="198" customWidth="1"/>
  </cols>
  <sheetData>
    <row r="1" spans="1:7" ht="20.25">
      <c r="A1" s="914" t="s">
        <v>282</v>
      </c>
      <c r="B1" s="914"/>
      <c r="C1" s="914"/>
      <c r="D1" s="914"/>
      <c r="E1" s="914"/>
      <c r="F1" s="914"/>
      <c r="G1" s="914"/>
    </row>
    <row r="2" spans="1:7" ht="18.75">
      <c r="A2" s="915" t="s">
        <v>283</v>
      </c>
      <c r="B2" s="915"/>
      <c r="C2" s="915"/>
      <c r="D2" s="915"/>
      <c r="E2" s="915"/>
      <c r="F2" s="915"/>
      <c r="G2" s="915"/>
    </row>
    <row r="3" spans="1:7" ht="15.75">
      <c r="A3" s="912" t="s">
        <v>587</v>
      </c>
      <c r="B3" s="912"/>
      <c r="C3" s="912"/>
      <c r="D3" s="912"/>
      <c r="E3" s="912"/>
      <c r="F3" s="912"/>
      <c r="G3" s="912"/>
    </row>
    <row r="4" spans="1:7" ht="12.75">
      <c r="A4" s="916" t="s">
        <v>16</v>
      </c>
      <c r="B4" s="916"/>
      <c r="C4" s="916"/>
      <c r="D4" s="916"/>
      <c r="E4" s="916"/>
      <c r="F4" s="916"/>
      <c r="G4" s="916"/>
    </row>
    <row r="5" spans="1:7" ht="12.75">
      <c r="A5" s="192"/>
      <c r="B5" s="192"/>
      <c r="C5" s="192"/>
      <c r="D5" s="192"/>
      <c r="E5" s="192"/>
      <c r="F5" s="192"/>
      <c r="G5" s="192"/>
    </row>
    <row r="6" spans="1:7" ht="12.75">
      <c r="A6" s="238"/>
      <c r="B6" s="238"/>
      <c r="C6" s="238"/>
      <c r="D6" s="238"/>
      <c r="E6" s="238"/>
      <c r="F6" s="238"/>
      <c r="G6" s="716"/>
    </row>
    <row r="7" spans="1:7" ht="12.75">
      <c r="A7" s="33"/>
      <c r="B7" s="49"/>
      <c r="C7" s="193" t="s">
        <v>586</v>
      </c>
      <c r="D7" s="193" t="s">
        <v>301</v>
      </c>
      <c r="E7" s="51" t="s">
        <v>284</v>
      </c>
      <c r="F7" s="51" t="s">
        <v>285</v>
      </c>
      <c r="G7" s="193" t="s">
        <v>286</v>
      </c>
    </row>
    <row r="8" spans="1:7" ht="12.75">
      <c r="A8" s="33" t="s">
        <v>17</v>
      </c>
      <c r="B8" s="50"/>
      <c r="C8" s="193" t="s">
        <v>3</v>
      </c>
      <c r="D8" s="193" t="s">
        <v>302</v>
      </c>
      <c r="E8" s="51" t="s">
        <v>287</v>
      </c>
      <c r="F8" s="51" t="s">
        <v>288</v>
      </c>
      <c r="G8" s="193" t="s">
        <v>289</v>
      </c>
    </row>
    <row r="9" spans="1:7" ht="12.75">
      <c r="A9" s="34" t="s">
        <v>18</v>
      </c>
      <c r="B9" s="79" t="s">
        <v>19</v>
      </c>
      <c r="C9" s="195" t="s">
        <v>6</v>
      </c>
      <c r="D9" s="195" t="s">
        <v>303</v>
      </c>
      <c r="E9" s="196" t="s">
        <v>618</v>
      </c>
      <c r="F9" s="196" t="str">
        <f>+E9</f>
        <v>YTD - 10/14/15</v>
      </c>
      <c r="G9" s="196" t="str">
        <f>+E9</f>
        <v>YTD - 10/14/15</v>
      </c>
    </row>
    <row r="10" spans="1:7" ht="12.75">
      <c r="A10" s="33"/>
      <c r="B10" s="50"/>
      <c r="C10" s="605"/>
      <c r="D10" s="605"/>
      <c r="E10" s="28"/>
      <c r="F10" s="28"/>
      <c r="G10" s="28"/>
    </row>
    <row r="11" spans="1:7" ht="12.75">
      <c r="A11" s="53" t="s">
        <v>21</v>
      </c>
      <c r="B11" s="37"/>
      <c r="C11" s="37"/>
      <c r="D11" s="37"/>
      <c r="E11" s="197"/>
      <c r="F11" s="197"/>
      <c r="G11" s="717"/>
    </row>
    <row r="12" spans="1:7" ht="12.75">
      <c r="A12" s="54" t="s">
        <v>22</v>
      </c>
      <c r="B12" s="28"/>
      <c r="C12" s="199"/>
      <c r="D12" s="199"/>
      <c r="E12" s="30"/>
      <c r="F12" s="30"/>
      <c r="G12" s="717"/>
    </row>
    <row r="13" spans="1:7" ht="12.75">
      <c r="A13" s="108">
        <v>29358</v>
      </c>
      <c r="B13" s="95" t="s">
        <v>308</v>
      </c>
      <c r="C13" s="804">
        <v>6209803.481</v>
      </c>
      <c r="D13" s="804">
        <v>6202069.175</v>
      </c>
      <c r="E13" s="804">
        <v>6136756.846000001</v>
      </c>
      <c r="F13" s="804">
        <v>6136756.846000001</v>
      </c>
      <c r="G13" s="827">
        <f>+E13/D13</f>
        <v>0.9894692678915502</v>
      </c>
    </row>
    <row r="14" spans="1:7" ht="12.75">
      <c r="A14" s="108">
        <v>29359</v>
      </c>
      <c r="B14" s="95" t="s">
        <v>309</v>
      </c>
      <c r="C14" s="55">
        <v>1200</v>
      </c>
      <c r="D14" s="55">
        <v>1200</v>
      </c>
      <c r="E14" s="55">
        <v>1200</v>
      </c>
      <c r="F14" s="55">
        <v>1200</v>
      </c>
      <c r="G14" s="201">
        <f aca="true" t="shared" si="0" ref="G14:G23">+E14/D14</f>
        <v>1</v>
      </c>
    </row>
    <row r="15" spans="1:7" ht="12.75">
      <c r="A15" s="108">
        <v>27920</v>
      </c>
      <c r="B15" s="95" t="s">
        <v>290</v>
      </c>
      <c r="C15" s="55">
        <v>8844.209</v>
      </c>
      <c r="D15" s="55">
        <v>8844.209</v>
      </c>
      <c r="E15" s="55">
        <v>8844.2</v>
      </c>
      <c r="F15" s="55">
        <v>8844.2</v>
      </c>
      <c r="G15" s="201">
        <f t="shared" si="0"/>
        <v>0.9999989823849708</v>
      </c>
    </row>
    <row r="16" spans="1:7" ht="12.75">
      <c r="A16" s="108">
        <v>27921</v>
      </c>
      <c r="B16" s="95" t="s">
        <v>23</v>
      </c>
      <c r="C16" s="55">
        <v>513912.1</v>
      </c>
      <c r="D16" s="55">
        <v>522429.965</v>
      </c>
      <c r="E16" s="55">
        <v>522430</v>
      </c>
      <c r="F16" s="55">
        <v>522430</v>
      </c>
      <c r="G16" s="201">
        <f t="shared" si="0"/>
        <v>1.0000000669946256</v>
      </c>
    </row>
    <row r="17" spans="1:7" ht="12.75">
      <c r="A17" s="108">
        <v>27923</v>
      </c>
      <c r="B17" s="95" t="s">
        <v>24</v>
      </c>
      <c r="C17" s="55">
        <v>185406.78</v>
      </c>
      <c r="D17" s="55">
        <v>153855.693</v>
      </c>
      <c r="E17" s="55">
        <v>153855.7</v>
      </c>
      <c r="F17" s="55">
        <v>153855.7</v>
      </c>
      <c r="G17" s="201">
        <f t="shared" si="0"/>
        <v>1.0000000454971791</v>
      </c>
    </row>
    <row r="18" spans="1:7" ht="12.75">
      <c r="A18" s="108">
        <v>27924</v>
      </c>
      <c r="B18" s="95" t="s">
        <v>25</v>
      </c>
      <c r="C18" s="55">
        <v>82275.67</v>
      </c>
      <c r="D18" s="55">
        <v>96595.807</v>
      </c>
      <c r="E18" s="55">
        <v>96595.807</v>
      </c>
      <c r="F18" s="55">
        <v>96595.807</v>
      </c>
      <c r="G18" s="201">
        <f t="shared" si="0"/>
        <v>1</v>
      </c>
    </row>
    <row r="19" spans="1:7" ht="12.75">
      <c r="A19" s="108">
        <v>29253</v>
      </c>
      <c r="B19" s="95" t="s">
        <v>26</v>
      </c>
      <c r="C19" s="55">
        <v>31067.318</v>
      </c>
      <c r="D19" s="55">
        <v>31039.392</v>
      </c>
      <c r="E19" s="55">
        <v>31039.392</v>
      </c>
      <c r="F19" s="55">
        <v>31039.392</v>
      </c>
      <c r="G19" s="201">
        <f t="shared" si="0"/>
        <v>1</v>
      </c>
    </row>
    <row r="20" spans="1:7" ht="12.75">
      <c r="A20" s="108">
        <v>29290</v>
      </c>
      <c r="B20" s="95" t="s">
        <v>27</v>
      </c>
      <c r="C20" s="55">
        <v>241305.509</v>
      </c>
      <c r="D20" s="55">
        <v>271109.101</v>
      </c>
      <c r="E20" s="55">
        <v>271109.101</v>
      </c>
      <c r="F20" s="55">
        <v>271109.101</v>
      </c>
      <c r="G20" s="201">
        <f t="shared" si="0"/>
        <v>1</v>
      </c>
    </row>
    <row r="21" spans="1:7" ht="12.75">
      <c r="A21" s="108">
        <v>29605</v>
      </c>
      <c r="B21" s="95" t="s">
        <v>28</v>
      </c>
      <c r="C21" s="55">
        <v>435476.767</v>
      </c>
      <c r="D21" s="55">
        <v>435476.767</v>
      </c>
      <c r="E21" s="55">
        <v>435476.8</v>
      </c>
      <c r="F21" s="55">
        <v>435476.8</v>
      </c>
      <c r="G21" s="201">
        <f t="shared" si="0"/>
        <v>1.000000075779014</v>
      </c>
    </row>
    <row r="22" spans="1:7" ht="12.75">
      <c r="A22" s="108">
        <v>29606</v>
      </c>
      <c r="B22" s="95" t="s">
        <v>29</v>
      </c>
      <c r="C22" s="55">
        <v>33804.481</v>
      </c>
      <c r="D22" s="55">
        <v>33804.481</v>
      </c>
      <c r="E22" s="55">
        <v>33804.5</v>
      </c>
      <c r="F22" s="55">
        <v>33804.5</v>
      </c>
      <c r="G22" s="201">
        <f t="shared" si="0"/>
        <v>1.0000005620556636</v>
      </c>
    </row>
    <row r="23" spans="1:7" ht="12.75">
      <c r="A23" s="108">
        <v>29627</v>
      </c>
      <c r="B23" s="95" t="s">
        <v>0</v>
      </c>
      <c r="C23" s="55">
        <v>23207.561</v>
      </c>
      <c r="D23" s="55">
        <v>27222.454</v>
      </c>
      <c r="E23" s="55">
        <v>27222.454</v>
      </c>
      <c r="F23" s="55">
        <v>27222.454</v>
      </c>
      <c r="G23" s="201">
        <f t="shared" si="0"/>
        <v>1</v>
      </c>
    </row>
    <row r="24" spans="1:7" ht="12.75">
      <c r="A24" s="108"/>
      <c r="B24" s="107"/>
      <c r="C24" s="55" t="s">
        <v>2</v>
      </c>
      <c r="D24" s="187"/>
      <c r="E24" s="57"/>
      <c r="F24" s="57"/>
      <c r="G24" s="219"/>
    </row>
    <row r="25" spans="1:7" ht="12.75">
      <c r="A25" s="844" t="s">
        <v>30</v>
      </c>
      <c r="B25" s="96"/>
      <c r="C25" s="89">
        <f>SUM(C13:C24)</f>
        <v>7766303.875999998</v>
      </c>
      <c r="D25" s="89">
        <f>SUM(D13:D24)</f>
        <v>7783647.043999999</v>
      </c>
      <c r="E25" s="89">
        <f>SUM(E13:E24)</f>
        <v>7718334.800000001</v>
      </c>
      <c r="F25" s="89">
        <f>SUM(F13:F24)</f>
        <v>7718334.800000001</v>
      </c>
      <c r="G25" s="219">
        <f>+E25/D25</f>
        <v>0.9916090434688526</v>
      </c>
    </row>
    <row r="26" spans="1:7" ht="12.75">
      <c r="A26" s="109" t="s">
        <v>31</v>
      </c>
      <c r="B26" s="108"/>
      <c r="C26" s="29"/>
      <c r="D26" s="29"/>
      <c r="E26" s="57"/>
      <c r="F26" s="57"/>
      <c r="G26" s="201"/>
    </row>
    <row r="27" spans="1:7" ht="12.75">
      <c r="A27" s="108">
        <v>27900</v>
      </c>
      <c r="B27" s="95" t="s">
        <v>32</v>
      </c>
      <c r="C27" s="804">
        <v>7612.46</v>
      </c>
      <c r="D27" s="804">
        <v>9282.96</v>
      </c>
      <c r="E27" s="804">
        <v>9283</v>
      </c>
      <c r="F27" s="804">
        <v>7813.7</v>
      </c>
      <c r="G27" s="201">
        <f aca="true" t="shared" si="1" ref="G27:G50">+E27/D27</f>
        <v>1.0000043089704147</v>
      </c>
    </row>
    <row r="28" spans="1:7" ht="12.75">
      <c r="A28" s="108">
        <v>27902</v>
      </c>
      <c r="B28" s="95" t="s">
        <v>550</v>
      </c>
      <c r="C28" s="55">
        <v>304998.708</v>
      </c>
      <c r="D28" s="55">
        <v>304471.073</v>
      </c>
      <c r="E28" s="57">
        <v>4852.6</v>
      </c>
      <c r="F28" s="57">
        <v>2499.4</v>
      </c>
      <c r="G28" s="201">
        <f t="shared" si="1"/>
        <v>0.01593780306347855</v>
      </c>
    </row>
    <row r="29" spans="1:7" ht="12.75">
      <c r="A29" s="108">
        <v>27904</v>
      </c>
      <c r="B29" s="95" t="s">
        <v>551</v>
      </c>
      <c r="C29" s="55">
        <v>0</v>
      </c>
      <c r="D29" s="55">
        <v>400</v>
      </c>
      <c r="E29" s="57">
        <v>118.4</v>
      </c>
      <c r="F29" s="57">
        <v>118.4</v>
      </c>
      <c r="G29" s="201">
        <f t="shared" si="1"/>
        <v>0.29600000000000004</v>
      </c>
    </row>
    <row r="30" spans="1:7" ht="12.75">
      <c r="A30" s="108">
        <v>27906</v>
      </c>
      <c r="B30" s="95" t="s">
        <v>33</v>
      </c>
      <c r="C30" s="55">
        <v>17500</v>
      </c>
      <c r="D30" s="55">
        <v>15000</v>
      </c>
      <c r="E30" s="57">
        <v>10395.9</v>
      </c>
      <c r="F30" s="57">
        <v>9351</v>
      </c>
      <c r="G30" s="201">
        <f t="shared" si="1"/>
        <v>0.69306</v>
      </c>
    </row>
    <row r="31" spans="1:7" ht="12.75">
      <c r="A31" s="108">
        <v>27907</v>
      </c>
      <c r="B31" s="95" t="s">
        <v>34</v>
      </c>
      <c r="C31" s="55">
        <v>74500.443</v>
      </c>
      <c r="D31" s="55">
        <v>74572.524</v>
      </c>
      <c r="E31" s="57">
        <v>74572.5</v>
      </c>
      <c r="F31" s="57">
        <v>74572.5</v>
      </c>
      <c r="G31" s="201">
        <f t="shared" si="1"/>
        <v>0.9999996781656472</v>
      </c>
    </row>
    <row r="32" spans="1:7" ht="12.75">
      <c r="A32" s="108">
        <v>27910</v>
      </c>
      <c r="B32" s="95" t="s">
        <v>605</v>
      </c>
      <c r="C32" s="55">
        <v>0</v>
      </c>
      <c r="D32" s="55">
        <v>387.921</v>
      </c>
      <c r="E32" s="57">
        <v>104.2</v>
      </c>
      <c r="F32" s="57">
        <v>104.2</v>
      </c>
      <c r="G32" s="201">
        <f t="shared" si="1"/>
        <v>0.2686113925257978</v>
      </c>
    </row>
    <row r="33" spans="1:7" ht="12.75">
      <c r="A33" s="108">
        <v>27914</v>
      </c>
      <c r="B33" s="95" t="s">
        <v>588</v>
      </c>
      <c r="C33" s="55">
        <v>20747.25</v>
      </c>
      <c r="D33" s="55">
        <v>20747.25</v>
      </c>
      <c r="E33" s="57">
        <v>0</v>
      </c>
      <c r="F33" s="57">
        <v>0</v>
      </c>
      <c r="G33" s="201">
        <f t="shared" si="1"/>
        <v>0</v>
      </c>
    </row>
    <row r="34" spans="1:7" ht="12.75">
      <c r="A34" s="108">
        <v>29255</v>
      </c>
      <c r="B34" s="95" t="s">
        <v>35</v>
      </c>
      <c r="C34" s="56">
        <v>539274.438</v>
      </c>
      <c r="D34" s="55">
        <v>479172.148</v>
      </c>
      <c r="E34" s="57">
        <v>333768.5</v>
      </c>
      <c r="F34" s="57">
        <v>271109.1</v>
      </c>
      <c r="G34" s="201">
        <f t="shared" si="1"/>
        <v>0.6965523797514208</v>
      </c>
    </row>
    <row r="35" spans="1:7" ht="12.75">
      <c r="A35" s="108">
        <v>29260</v>
      </c>
      <c r="B35" s="95" t="s">
        <v>296</v>
      </c>
      <c r="C35" s="55">
        <v>30285.596</v>
      </c>
      <c r="D35" s="56">
        <v>30678.92</v>
      </c>
      <c r="E35" s="57">
        <v>6554.6</v>
      </c>
      <c r="F35" s="57">
        <v>6554.6</v>
      </c>
      <c r="G35" s="201">
        <f t="shared" si="1"/>
        <v>0.213651588778223</v>
      </c>
    </row>
    <row r="36" spans="1:7" ht="12.75">
      <c r="A36" s="108">
        <v>29261</v>
      </c>
      <c r="B36" s="95" t="s">
        <v>62</v>
      </c>
      <c r="C36" s="55">
        <v>19349.695</v>
      </c>
      <c r="D36" s="55">
        <v>19269.913</v>
      </c>
      <c r="E36" s="57">
        <v>19269.9</v>
      </c>
      <c r="F36" s="57">
        <v>19269.9</v>
      </c>
      <c r="G36" s="201">
        <f t="shared" si="1"/>
        <v>0.9999993253731867</v>
      </c>
    </row>
    <row r="37" spans="1:7" ht="12.75">
      <c r="A37" s="108">
        <v>29262</v>
      </c>
      <c r="B37" s="95" t="s">
        <v>36</v>
      </c>
      <c r="C37" s="55">
        <v>14734.075</v>
      </c>
      <c r="D37" s="55">
        <v>14786.893</v>
      </c>
      <c r="E37" s="57">
        <v>14786.9</v>
      </c>
      <c r="F37" s="57">
        <v>14786.9</v>
      </c>
      <c r="G37" s="201">
        <f t="shared" si="1"/>
        <v>1.000000473392213</v>
      </c>
    </row>
    <row r="38" spans="1:7" ht="12.75">
      <c r="A38" s="108">
        <v>29275</v>
      </c>
      <c r="B38" s="95" t="s">
        <v>37</v>
      </c>
      <c r="C38" s="55">
        <v>8073.137</v>
      </c>
      <c r="D38" s="55">
        <v>8039.85</v>
      </c>
      <c r="E38" s="57">
        <v>8039.8</v>
      </c>
      <c r="F38" s="57">
        <v>8039.8</v>
      </c>
      <c r="G38" s="201">
        <f t="shared" si="1"/>
        <v>0.9999937809785008</v>
      </c>
    </row>
    <row r="39" spans="1:7" ht="12.75">
      <c r="A39" s="108">
        <v>29292</v>
      </c>
      <c r="B39" s="95" t="s">
        <v>38</v>
      </c>
      <c r="C39" s="55">
        <v>10000</v>
      </c>
      <c r="D39" s="55">
        <v>4642.576</v>
      </c>
      <c r="E39" s="57">
        <v>4642.6</v>
      </c>
      <c r="F39" s="57">
        <v>4642.6</v>
      </c>
      <c r="G39" s="201">
        <f t="shared" si="1"/>
        <v>1.000005169543805</v>
      </c>
    </row>
    <row r="40" spans="1:7" ht="12.75">
      <c r="A40" s="108">
        <v>29295</v>
      </c>
      <c r="B40" s="95" t="s">
        <v>39</v>
      </c>
      <c r="C40" s="56">
        <v>135009.017</v>
      </c>
      <c r="D40" s="55">
        <v>124269.849</v>
      </c>
      <c r="E40" s="57">
        <v>121059.1</v>
      </c>
      <c r="F40" s="57">
        <v>98367.8</v>
      </c>
      <c r="G40" s="201">
        <f t="shared" si="1"/>
        <v>0.9741630892301157</v>
      </c>
    </row>
    <row r="41" spans="1:7" ht="12.75">
      <c r="A41" s="108">
        <v>29356</v>
      </c>
      <c r="B41" s="95" t="s">
        <v>534</v>
      </c>
      <c r="C41" s="55">
        <v>7028.996</v>
      </c>
      <c r="D41" s="56">
        <v>7027.09</v>
      </c>
      <c r="E41" s="57">
        <v>4694.1</v>
      </c>
      <c r="F41" s="57">
        <v>3717.2</v>
      </c>
      <c r="G41" s="201">
        <f t="shared" si="1"/>
        <v>0.6680005521488981</v>
      </c>
    </row>
    <row r="42" spans="1:7" ht="12.75">
      <c r="A42" s="108">
        <v>29603</v>
      </c>
      <c r="B42" s="95" t="s">
        <v>40</v>
      </c>
      <c r="C42" s="55">
        <v>3462.309</v>
      </c>
      <c r="D42" s="55">
        <v>3918.543</v>
      </c>
      <c r="E42" s="57">
        <v>3918.5</v>
      </c>
      <c r="F42" s="57">
        <v>3187.7</v>
      </c>
      <c r="G42" s="201">
        <f t="shared" si="1"/>
        <v>0.9999890265335866</v>
      </c>
    </row>
    <row r="43" spans="1:7" ht="12.75">
      <c r="A43" s="108">
        <v>29614</v>
      </c>
      <c r="B43" s="95" t="s">
        <v>589</v>
      </c>
      <c r="C43" s="55">
        <v>224946.63</v>
      </c>
      <c r="D43" s="55">
        <v>224946.63</v>
      </c>
      <c r="E43" s="57">
        <v>159870.9</v>
      </c>
      <c r="F43" s="57">
        <v>131285.1</v>
      </c>
      <c r="G43" s="201">
        <f t="shared" si="1"/>
        <v>0.7107059127758437</v>
      </c>
    </row>
    <row r="44" spans="1:7" ht="12.75">
      <c r="A44" s="110">
        <v>29617</v>
      </c>
      <c r="B44" s="95" t="s">
        <v>297</v>
      </c>
      <c r="C44" s="55">
        <v>4300</v>
      </c>
      <c r="D44" s="55">
        <v>4300</v>
      </c>
      <c r="E44" s="57">
        <v>4300</v>
      </c>
      <c r="F44" s="57">
        <v>4300</v>
      </c>
      <c r="G44" s="201">
        <f t="shared" si="1"/>
        <v>1</v>
      </c>
    </row>
    <row r="45" spans="1:7" ht="12.75">
      <c r="A45" s="110" t="s">
        <v>41</v>
      </c>
      <c r="B45" s="95" t="s">
        <v>84</v>
      </c>
      <c r="C45" s="55">
        <v>15000</v>
      </c>
      <c r="D45" s="55">
        <v>14400</v>
      </c>
      <c r="E45" s="57">
        <v>7200</v>
      </c>
      <c r="F45" s="57">
        <v>7200</v>
      </c>
      <c r="G45" s="201">
        <f t="shared" si="1"/>
        <v>0.5</v>
      </c>
    </row>
    <row r="46" spans="1:7" ht="12.75">
      <c r="A46" s="110">
        <v>29624</v>
      </c>
      <c r="B46" s="95" t="s">
        <v>517</v>
      </c>
      <c r="C46" s="55">
        <v>50000</v>
      </c>
      <c r="D46" s="55">
        <v>47185.815</v>
      </c>
      <c r="E46" s="57">
        <v>47185.8</v>
      </c>
      <c r="F46" s="57">
        <v>28847.3</v>
      </c>
      <c r="G46" s="201">
        <f t="shared" si="1"/>
        <v>0.9999996821078538</v>
      </c>
    </row>
    <row r="47" spans="1:7" ht="12.75">
      <c r="A47" s="110">
        <v>30400</v>
      </c>
      <c r="B47" s="95" t="s">
        <v>310</v>
      </c>
      <c r="C47" s="55">
        <v>334.801</v>
      </c>
      <c r="D47" s="55">
        <v>524.45</v>
      </c>
      <c r="E47" s="57">
        <v>37.5</v>
      </c>
      <c r="F47" s="57">
        <v>0</v>
      </c>
      <c r="G47" s="201">
        <f t="shared" si="1"/>
        <v>0.07150347983601868</v>
      </c>
    </row>
    <row r="48" spans="1:7" ht="12.75">
      <c r="A48" s="110"/>
      <c r="B48" s="95"/>
      <c r="C48" s="55"/>
      <c r="D48" s="55"/>
      <c r="E48" s="57"/>
      <c r="F48" s="57"/>
      <c r="G48" s="219"/>
    </row>
    <row r="49" spans="1:7" ht="12.75">
      <c r="A49" s="844" t="s">
        <v>42</v>
      </c>
      <c r="B49" s="177"/>
      <c r="C49" s="89">
        <f>SUM(C27:C48)</f>
        <v>1487157.5549999997</v>
      </c>
      <c r="D49" s="89">
        <f>SUM(D27:D48)</f>
        <v>1408024.405</v>
      </c>
      <c r="E49" s="89">
        <f>SUM(E27:E48)</f>
        <v>834654.8</v>
      </c>
      <c r="F49" s="89">
        <f>SUM(F27:F48)</f>
        <v>695767.2000000001</v>
      </c>
      <c r="G49" s="219">
        <f t="shared" si="1"/>
        <v>0.5927843274847214</v>
      </c>
    </row>
    <row r="50" spans="1:7" ht="12.75">
      <c r="A50" s="844" t="s">
        <v>43</v>
      </c>
      <c r="B50" s="178"/>
      <c r="C50" s="89">
        <f>C25+C49</f>
        <v>9253461.430999998</v>
      </c>
      <c r="D50" s="89">
        <f>D25+D49</f>
        <v>9191671.449</v>
      </c>
      <c r="E50" s="89">
        <f>E25+E49</f>
        <v>8552989.600000001</v>
      </c>
      <c r="F50" s="89">
        <f>F25+F49</f>
        <v>8414102</v>
      </c>
      <c r="G50" s="202">
        <f t="shared" si="1"/>
        <v>0.9305151568413074</v>
      </c>
    </row>
    <row r="51" spans="5:7" ht="12.75">
      <c r="E51"/>
      <c r="F51"/>
      <c r="G51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5" footer="0.25"/>
  <pageSetup horizontalDpi="600" verticalDpi="600" orientation="portrait" scale="80" r:id="rId1"/>
  <headerFooter alignWithMargins="0">
    <oddFooter>&amp;C&amp;14- 8 -</oddFooter>
  </headerFooter>
  <ignoredErrors>
    <ignoredError sqref="A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NYC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Administrator</dc:creator>
  <cp:keywords/>
  <dc:description/>
  <cp:lastModifiedBy>Hoffman, Elizabeth</cp:lastModifiedBy>
  <cp:lastPrinted>2015-11-03T19:26:06Z</cp:lastPrinted>
  <dcterms:created xsi:type="dcterms:W3CDTF">1999-10-13T15:58:04Z</dcterms:created>
  <dcterms:modified xsi:type="dcterms:W3CDTF">2015-12-08T17:35:00Z</dcterms:modified>
  <cp:category/>
  <cp:version/>
  <cp:contentType/>
  <cp:contentStatus/>
</cp:coreProperties>
</file>