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700" windowHeight="10770" tabRatio="933" activeTab="0"/>
  </bookViews>
  <sheets>
    <sheet name="TABLE of CONTENTS" sheetId="1" r:id="rId1"/>
    <sheet name="City Approved" sheetId="2" r:id="rId2"/>
    <sheet name="Revenue Modifications" sheetId="3" r:id="rId3"/>
    <sheet name="Adop &amp; Prior Yrs by UAGroup-Bar" sheetId="4" r:id="rId4"/>
    <sheet name="Revenue Budget Update_1 of 3" sheetId="5" r:id="rId5"/>
    <sheet name="Revenue Budget Update_2 of 3" sheetId="6" r:id="rId6"/>
    <sheet name="Revenue Budget Update_3 of 3" sheetId="7" r:id="rId7"/>
    <sheet name="Claims_1 of 2" sheetId="8" r:id="rId8"/>
    <sheet name="Claims_2 of 2" sheetId="9" r:id="rId9"/>
    <sheet name="Revenue Trend-Bar" sheetId="10" r:id="rId10"/>
    <sheet name="Revenue Trend-PIE" sheetId="11" r:id="rId11"/>
    <sheet name="YTD Expenses PS &amp; OTPS by UA" sheetId="12" r:id="rId12"/>
    <sheet name="Exp#PS#cat" sheetId="13" r:id="rId13"/>
    <sheet name="Exp#OTPS#cat" sheetId="14" r:id="rId14"/>
    <sheet name="FY16Payroll Pds&amp;Ck Dates_1 of 2" sheetId="15" r:id="rId15"/>
    <sheet name="FY16Payroll Pds&amp;Ck Dates_2 of 2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">'City Approved'!$A$1:$F$55</definedName>
    <definedName name="_xlnm.Print_Area" localSheetId="7">'Claims_1 of 2'!$A$12:$G$50</definedName>
    <definedName name="_xlnm.Print_Area" localSheetId="8">'Claims_2 of 2'!$A$12:$G$46</definedName>
    <definedName name="_xlnm.Print_Area" localSheetId="13">'Exp#OTPS#cat'!$A$12:$F$59</definedName>
    <definedName name="_xlnm.Print_Area" localSheetId="12">'Exp#PS#cat'!$A$1:$E$43</definedName>
    <definedName name="_xlnm.Print_Area" localSheetId="14">'FY16Payroll Pds&amp;Ck Dates_1 of 2'!$A$1:$AC$64</definedName>
    <definedName name="_xlnm.Print_Area" localSheetId="15">'FY16Payroll Pds&amp;Ck Dates_2 of 2'!$A$1:$AC$45</definedName>
    <definedName name="_xlnm.Print_Area" localSheetId="4">'Revenue Budget Update_1 of 3'!$A$11:$E$49</definedName>
    <definedName name="_xlnm.Print_Area" localSheetId="5">'Revenue Budget Update_2 of 3'!$A$11:$E$51</definedName>
    <definedName name="_xlnm.Print_Area" localSheetId="6">'Revenue Budget Update_3 of 3'!$A$1:$E$41</definedName>
    <definedName name="_xlnm.Print_Area" localSheetId="2">'Revenue Modifications'!$A$1:$F$29</definedName>
    <definedName name="_xlnm.Print_Area" localSheetId="9">'Revenue Trend-Bar'!$A$1:$Q$45</definedName>
    <definedName name="_xlnm.Print_Area" localSheetId="10">'Revenue Trend-PIE'!$A$1:$H$62</definedName>
    <definedName name="_xlnm.Print_Area" localSheetId="0">'TABLE of CONTENTS'!$B$1:$E$33</definedName>
    <definedName name="_xlnm.Print_Area" localSheetId="11">'YTD Expenses PS &amp; OTPS by UA'!$A$1:$F$88</definedName>
    <definedName name="_xlnm.Print_Titles" localSheetId="7">'Claims_1 of 2'!$1:$11</definedName>
    <definedName name="_xlnm.Print_Titles" localSheetId="8">'Claims_2 of 2'!$1:$11</definedName>
    <definedName name="_xlnm.Print_Titles" localSheetId="13">'Exp#OTPS#cat'!$1:$11</definedName>
    <definedName name="_xlnm.Print_Titles" localSheetId="12">'Exp#PS#cat'!$1:$6</definedName>
    <definedName name="_xlnm.Print_Titles" localSheetId="4">'Revenue Budget Update_1 of 3'!$1:$10</definedName>
    <definedName name="_xlnm.Print_Titles" localSheetId="5">'Revenue Budget Update_2 of 3'!$1:$11</definedName>
    <definedName name="_xlnm.Print_Titles" localSheetId="6">'Revenue Budget Update_3 of 3'!$1:$11</definedName>
    <definedName name="_xlnm.Print_Titles" localSheetId="11">'YTD Expenses PS &amp; OTPS by UA'!$1:$8</definedName>
  </definedNames>
  <calcPr fullCalcOnLoad="1"/>
</workbook>
</file>

<file path=xl/sharedStrings.xml><?xml version="1.0" encoding="utf-8"?>
<sst xmlns="http://schemas.openxmlformats.org/spreadsheetml/2006/main" count="1121" uniqueCount="634">
  <si>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</si>
  <si>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</si>
  <si>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</si>
  <si>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</si>
  <si>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</si>
  <si>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</si>
  <si>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</si>
  <si>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</si>
  <si>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</si>
  <si>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</si>
  <si>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</si>
  <si>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</si>
  <si>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</si>
  <si>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</si>
  <si>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</si>
  <si>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</si>
  <si>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</si>
  <si>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</si>
  <si>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</si>
  <si>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</si>
  <si>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</si>
  <si>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</si>
  <si>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</si>
  <si>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</si>
  <si>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</si>
  <si>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</si>
  <si>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</si>
  <si>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</si>
  <si>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</si>
  <si>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</si>
  <si>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</si>
  <si>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</si>
  <si>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</si>
  <si>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</si>
  <si>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</si>
  <si>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</si>
  <si>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</si>
  <si>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</si>
  <si>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</si>
  <si>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UNIVERSAL PRE-KINDERGARTEN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</si>
  <si>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</si>
  <si>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</si>
  <si>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</si>
  <si>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</si>
  <si>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</si>
  <si>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</si>
  <si>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</si>
  <si>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</si>
  <si>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</si>
  <si>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</si>
  <si>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</si>
  <si>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</si>
  <si>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</si>
  <si>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</si>
  <si>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</si>
  <si>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</si>
  <si>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</si>
  <si>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</si>
  <si>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</si>
  <si>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</si>
  <si>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</si>
  <si>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</si>
  <si>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</si>
  <si>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</si>
  <si>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</si>
  <si>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</si>
  <si>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</si>
  <si>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</si>
  <si>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</si>
  <si>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</si>
  <si>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</si>
  <si>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</si>
  <si>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</si>
  <si>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</si>
  <si>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</si>
  <si>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</si>
  <si>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</si>
  <si>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</si>
  <si>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</si>
  <si>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</si>
  <si>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</si>
  <si>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</si>
  <si>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</si>
  <si>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</si>
  <si>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</si>
  <si>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</si>
  <si>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</si>
  <si>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</si>
  <si>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</si>
  <si>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</si>
  <si>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</si>
  <si>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</si>
  <si>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</si>
  <si>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</si>
  <si>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</si>
  <si>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</si>
  <si>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</si>
  <si>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</si>
  <si>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</si>
  <si>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</si>
  <si>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</si>
  <si>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</si>
  <si>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</si>
  <si>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</si>
  <si>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</si>
  <si>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</si>
  <si>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</si>
  <si>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</si>
  <si>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</si>
  <si>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</si>
  <si>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</si>
  <si>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</si>
  <si>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</si>
  <si>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</si>
  <si>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</si>
  <si>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</si>
  <si>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</si>
  <si>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</si>
  <si>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</si>
  <si>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</si>
  <si>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</si>
  <si>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</si>
  <si>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</si>
  <si>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</si>
  <si>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</si>
  <si>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</si>
  <si>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</si>
  <si>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</si>
  <si>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</si>
  <si>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</si>
  <si>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</si>
  <si>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</si>
  <si>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</si>
  <si>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</si>
  <si>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</si>
  <si>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</si>
  <si>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</si>
  <si>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</si>
  <si>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</si>
  <si>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</si>
  <si>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</si>
  <si>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</si>
  <si>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</si>
  <si>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</si>
  <si>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</si>
  <si>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</si>
  <si>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</si>
  <si>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</si>
  <si>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</si>
  <si>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</si>
  <si>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</si>
  <si>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</si>
  <si>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</si>
  <si>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</si>
  <si>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</si>
  <si>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</si>
  <si>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</si>
  <si>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</si>
  <si>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</si>
  <si>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</si>
  <si>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</si>
  <si>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</si>
  <si>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</si>
  <si>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</si>
  <si>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</si>
  <si>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</si>
  <si>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</si>
  <si>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</si>
  <si>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</si>
  <si>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</si>
  <si>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</si>
  <si>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</si>
  <si>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</si>
  <si>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</si>
  <si>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</si>
  <si>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</si>
  <si>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</si>
  <si>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</si>
  <si>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TOTAL OTHER THAN PERSONAL SERVICE</t>
  </si>
  <si>
    <t>TOTAL FUNDS COMMITTED TO DEPARTMENT OF EDUCATION</t>
  </si>
  <si>
    <t xml:space="preserve"> New York City Department of Education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</si>
  <si>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</si>
  <si>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</si>
  <si>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</si>
  <si>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</si>
  <si>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</si>
  <si>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</si>
  <si>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</si>
  <si>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</si>
  <si>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</si>
  <si>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</si>
  <si>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</si>
  <si>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</si>
  <si>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</si>
  <si>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</si>
  <si>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</si>
  <si>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</si>
  <si>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</si>
  <si>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</si>
  <si>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</si>
  <si>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</si>
  <si>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</si>
  <si>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</si>
  <si>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</si>
  <si>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</si>
  <si>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</si>
  <si>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</si>
  <si>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</si>
  <si>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</si>
  <si>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</si>
  <si>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</si>
  <si>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</si>
  <si>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</si>
  <si>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</si>
  <si>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</si>
  <si>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</si>
  <si>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</si>
  <si>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</si>
  <si>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</si>
  <si>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</si>
  <si>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</si>
  <si>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</si>
  <si>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Uniform Allowance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</si>
  <si>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</si>
  <si>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</si>
  <si>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</si>
  <si>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</si>
  <si>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</si>
  <si>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</si>
  <si>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</si>
  <si>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</si>
  <si>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</si>
  <si>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</si>
  <si>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</si>
  <si>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</si>
  <si>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</si>
  <si>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</si>
  <si>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</si>
  <si>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</si>
  <si>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 xml:space="preserve">Pending </t>
  </si>
  <si>
    <t>COMMUNITY LEARNING CENTERS</t>
  </si>
  <si>
    <t>13941</t>
  </si>
  <si>
    <t>SCA CONSTRUCTION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</si>
  <si>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</si>
  <si>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</si>
  <si>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</si>
  <si>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</si>
  <si>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</si>
  <si>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</si>
  <si>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</si>
  <si>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</si>
  <si>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</si>
  <si>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</si>
  <si>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TITLE lll-LEP &amp; IMMIGRATION STUDENTS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</si>
  <si>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</si>
  <si>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</si>
  <si>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</si>
  <si>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</si>
  <si>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</si>
  <si>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</si>
  <si>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</si>
  <si>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</si>
  <si>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</si>
  <si>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</si>
  <si>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</si>
  <si>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</si>
  <si>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</si>
  <si>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</si>
  <si>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</si>
  <si>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</si>
  <si>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</si>
  <si>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</si>
  <si>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</si>
  <si>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</si>
  <si>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</si>
  <si>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</si>
  <si>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INTRA - CITY RENTALS (DOT - Safety City Program)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</si>
  <si>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</si>
  <si>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</si>
  <si>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</si>
  <si>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</si>
  <si>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</si>
  <si>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</si>
  <si>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</si>
  <si>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</si>
  <si>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</si>
  <si>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</si>
  <si>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SYSTEM (BERS)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</si>
  <si>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</si>
  <si>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</si>
  <si>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</si>
  <si>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</si>
  <si>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</si>
  <si>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</si>
  <si>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</si>
  <si>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</si>
  <si>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</si>
  <si>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</si>
  <si>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Revenue </t>
  </si>
  <si>
    <t>Condition</t>
  </si>
  <si>
    <t>Commitments</t>
  </si>
  <si>
    <t>Year-to-Date Commitments: OTPS by Category</t>
  </si>
  <si>
    <t>Committed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</si>
  <si>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</si>
  <si>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</si>
  <si>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</si>
  <si>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</si>
  <si>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</si>
  <si>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</si>
  <si>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</si>
  <si>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</si>
  <si>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*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</si>
  <si>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</si>
  <si>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</si>
  <si>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</si>
  <si>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</si>
  <si>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</si>
  <si>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</si>
  <si>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Year-to-Date Commitments</t>
  </si>
  <si>
    <t>Personal Service &amp; Other Than Personal Service by Unit of Appropriation</t>
  </si>
  <si>
    <t xml:space="preserve">Percent </t>
  </si>
  <si>
    <t>Expended</t>
  </si>
  <si>
    <t>School Safety  - OTPS</t>
  </si>
  <si>
    <t>Positions awaiting fund transfer</t>
  </si>
  <si>
    <t>Categorical Programs - PS</t>
  </si>
  <si>
    <t>Subtotal Reimbursable Programs</t>
  </si>
  <si>
    <t>Summary</t>
  </si>
  <si>
    <t>Personal Services</t>
  </si>
  <si>
    <t>Interest on Deferred Wages/Late Wage Adj.</t>
  </si>
  <si>
    <t>AID FOR ACADEMIC ACHIEVEMENT</t>
  </si>
  <si>
    <t>TITLE I COMPETITIVE</t>
  </si>
  <si>
    <t>Total</t>
  </si>
  <si>
    <t>Pension (as per the Adopted Budget)</t>
  </si>
  <si>
    <t>Debt Service (as per the Adopted Budget)</t>
  </si>
  <si>
    <t>Lump Sum Payment</t>
  </si>
  <si>
    <t>Notes:</t>
  </si>
  <si>
    <t>RECONCILIATIONS:</t>
  </si>
  <si>
    <r>
      <t>Reconciliation:</t>
    </r>
    <r>
      <rPr>
        <sz val="14"/>
        <rFont val="Humanst521 BT"/>
        <family val="2"/>
      </rPr>
      <t xml:space="preserve"> </t>
    </r>
    <r>
      <rPr>
        <i/>
        <sz val="13"/>
        <rFont val="Humanst521 BT"/>
        <family val="2"/>
      </rPr>
      <t>Increased Expense Budget due to Revenue Modifications</t>
    </r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</si>
  <si>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</si>
  <si>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</si>
  <si>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</si>
  <si>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</si>
  <si>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</si>
  <si>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</si>
  <si>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City  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</si>
  <si>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</si>
  <si>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>►</t>
    </r>
    <r>
      <rPr>
        <sz val="11"/>
        <rFont val="Comic Sans MS"/>
        <family val="4"/>
      </rPr>
      <t xml:space="preserve"> Historical Bar Graphs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</si>
  <si>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</si>
  <si>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</si>
  <si>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REVENUE TRENDS:</t>
  </si>
  <si>
    <t>► Historical Bar Graphs</t>
  </si>
  <si>
    <r>
      <t xml:space="preserve"> </t>
    </r>
    <r>
      <rPr>
        <sz val="11"/>
        <color indexed="8"/>
        <rFont val="Comic Sans MS"/>
        <family val="4"/>
      </rPr>
      <t>► Personal Service &amp; Other Than Personal Service by Unit of Appropriation</t>
    </r>
  </si>
  <si>
    <r>
      <t xml:space="preserve"> </t>
    </r>
    <r>
      <rPr>
        <sz val="11"/>
        <color indexed="8"/>
        <rFont val="Comic Sans MS"/>
        <family val="4"/>
      </rPr>
      <t>► Personal Service by Category</t>
    </r>
  </si>
  <si>
    <r>
      <t xml:space="preserve"> </t>
    </r>
    <r>
      <rPr>
        <sz val="11"/>
        <color indexed="8"/>
        <rFont val="Comic Sans MS"/>
        <family val="4"/>
      </rPr>
      <t>► Other Than Personal Service by Category</t>
    </r>
  </si>
  <si>
    <t>NEW YORK CITY DEPARTMENT OF EDUCATION</t>
  </si>
  <si>
    <t>Current</t>
  </si>
  <si>
    <t>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</si>
  <si>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</si>
  <si>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</si>
  <si>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</si>
  <si>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</si>
  <si>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</si>
  <si>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</si>
  <si>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</si>
  <si>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</si>
  <si>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</si>
  <si>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</si>
  <si>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</si>
  <si>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</si>
  <si>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POST-JUNE</t>
  </si>
  <si>
    <t xml:space="preserve">PAYROLL </t>
  </si>
  <si>
    <t>EXPENSE</t>
  </si>
  <si>
    <t>PAYROLL</t>
  </si>
  <si>
    <t>CHECK</t>
  </si>
  <si>
    <t>DESCRIPTION</t>
  </si>
  <si>
    <t>Bank</t>
  </si>
  <si>
    <t>TYPE</t>
  </si>
  <si>
    <t>PERIOD</t>
  </si>
  <si>
    <t>DATE</t>
  </si>
  <si>
    <t>ADMINISTRATIVE</t>
  </si>
  <si>
    <t>H</t>
  </si>
  <si>
    <t>0100</t>
  </si>
  <si>
    <t>SCHOOL LUNCH ANNUAL</t>
  </si>
  <si>
    <t>0200</t>
  </si>
  <si>
    <t>MECHANICS</t>
  </si>
  <si>
    <t>0400</t>
  </si>
  <si>
    <t>SCHOOL LUNCH PART YR.</t>
  </si>
  <si>
    <t>0600</t>
  </si>
  <si>
    <t>mo</t>
  </si>
  <si>
    <t>(# of Payrolls)</t>
  </si>
  <si>
    <t>ytd</t>
  </si>
  <si>
    <t>remaining</t>
  </si>
  <si>
    <t>HRLY.  ADMINISTRATIVE</t>
  </si>
  <si>
    <t>Z</t>
  </si>
  <si>
    <t>1200</t>
  </si>
  <si>
    <t>REGULAR TEACHER</t>
  </si>
  <si>
    <t>Q</t>
  </si>
  <si>
    <t>0500</t>
  </si>
  <si>
    <t>9/01-9/15</t>
  </si>
  <si>
    <t>10/01-10/15</t>
  </si>
  <si>
    <t>11/01-11/15</t>
  </si>
  <si>
    <t>12/01-12/15</t>
  </si>
  <si>
    <t>1/01-1/14</t>
  </si>
  <si>
    <t>2/01-2/15</t>
  </si>
  <si>
    <t>3/01-3/15</t>
  </si>
  <si>
    <t>4/01-4/15</t>
  </si>
  <si>
    <t>5/01-5/15</t>
  </si>
  <si>
    <t>6/01-6/15</t>
  </si>
  <si>
    <t>7/01-7/15</t>
  </si>
  <si>
    <t>OTHER UFT PEDS</t>
  </si>
  <si>
    <t>0501</t>
  </si>
  <si>
    <t>9/16-9/30</t>
  </si>
  <si>
    <t>10/16-10/31</t>
  </si>
  <si>
    <t>11/16-11/30</t>
  </si>
  <si>
    <t>12/16-12/31</t>
  </si>
  <si>
    <t>1/15-1/31</t>
  </si>
  <si>
    <t>2/16-2/28</t>
  </si>
  <si>
    <t>3/16-3/31</t>
  </si>
  <si>
    <t>4/16-4/30</t>
  </si>
  <si>
    <t>5/16-5/31</t>
  </si>
  <si>
    <t>6/16-6/30</t>
  </si>
  <si>
    <t>0502</t>
  </si>
  <si>
    <t>8/01-8/15</t>
  </si>
  <si>
    <t>Q-740 SABBATICALS</t>
  </si>
  <si>
    <t>0506</t>
  </si>
  <si>
    <t>Q-740 TERMINAL LEAVE</t>
  </si>
  <si>
    <t>0507</t>
  </si>
  <si>
    <t>0700</t>
  </si>
  <si>
    <t>IEP PARA PROFESSIONAL</t>
  </si>
  <si>
    <t>0704</t>
  </si>
  <si>
    <t>5/01-5/16</t>
  </si>
  <si>
    <t>8/16-8/31</t>
  </si>
  <si>
    <t>4/16-4/29</t>
  </si>
  <si>
    <t>5/17-5/31</t>
  </si>
  <si>
    <t>1/01-1/15</t>
  </si>
  <si>
    <t xml:space="preserve">     PER SESSION</t>
  </si>
  <si>
    <t>1/16-1/31</t>
  </si>
  <si>
    <t>(# of Elem &amp; Middle School Days</t>
  </si>
  <si>
    <t>Based on School Calendar)</t>
  </si>
  <si>
    <t>CUSTODIAL</t>
  </si>
  <si>
    <t>CUST</t>
  </si>
  <si>
    <t>0300</t>
  </si>
  <si>
    <t>FAMILY PARA (DC 37)</t>
  </si>
  <si>
    <t>E</t>
  </si>
  <si>
    <t>0750</t>
  </si>
  <si>
    <t>SCHOOL AIDES</t>
  </si>
  <si>
    <t>0800</t>
  </si>
  <si>
    <t>SCHOOL LUNCH HOURLY</t>
  </si>
  <si>
    <t>0900</t>
  </si>
  <si>
    <t>(Prelim # of Payrolls)</t>
  </si>
  <si>
    <t>SCHOOL GUARDS</t>
  </si>
  <si>
    <t>0801</t>
  </si>
  <si>
    <t>11919</t>
  </si>
  <si>
    <t>MEDICAID - HEALTH &amp; MEDICAL CARE</t>
  </si>
  <si>
    <t xml:space="preserve">Current </t>
  </si>
  <si>
    <t xml:space="preserve">  - CD Violation Removal</t>
  </si>
  <si>
    <t xml:space="preserve">  - Miscellaneous Fees &amp; Grants - included in City Tax-Levy Funding</t>
  </si>
  <si>
    <t xml:space="preserve">  - State Building Aid - not included in operating budget</t>
  </si>
  <si>
    <t>09/16-09/30</t>
  </si>
  <si>
    <t>CSA TITLES (School Year)</t>
  </si>
  <si>
    <t>EDUCATIONAL (UFT) PARA</t>
  </si>
  <si>
    <t>12m TITLES (Year Round)</t>
  </si>
  <si>
    <t xml:space="preserve"> PER DIEM   &amp;  </t>
  </si>
  <si>
    <t>Salary Adjustments Labor Reserve</t>
  </si>
  <si>
    <t>BLIND AND DEAF STUDENTS</t>
  </si>
  <si>
    <t>7/16-7/31</t>
  </si>
  <si>
    <t>09/1-09/15</t>
  </si>
  <si>
    <t>7/1-7/15</t>
  </si>
  <si>
    <t>8/1-8/15</t>
  </si>
  <si>
    <t>10/1-10/15</t>
  </si>
  <si>
    <t>OTHER SERVICES/FEES (DYCD - Beacon Program)</t>
  </si>
  <si>
    <t>OTHER SERVICES/FEES (DOHMH - School Health)</t>
  </si>
  <si>
    <t>OTHER SERVICES/FEES (DOHMH - Physical Fitness)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</si>
  <si>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</si>
  <si>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TEACHER CENTERS / MENTOR TEACHER</t>
  </si>
  <si>
    <t>TITLE I - COMPETITIVE</t>
  </si>
  <si>
    <t>Payroll Refunds</t>
  </si>
  <si>
    <t>Charter Schools - OTPS</t>
  </si>
  <si>
    <t>Contract &amp; Foster Care Payments - OTPS</t>
  </si>
  <si>
    <t>OTHER SERVICES/FEES (DOHMH - Obesity Programs)</t>
  </si>
  <si>
    <t>NURSES</t>
  </si>
  <si>
    <t>THERAPIST</t>
  </si>
  <si>
    <t xml:space="preserve">(# of Payrolls) </t>
  </si>
  <si>
    <t>2/01-2/14</t>
  </si>
  <si>
    <t>3/01-3/14</t>
  </si>
  <si>
    <t>2/15-2/29</t>
  </si>
  <si>
    <t>3/15-3/31</t>
  </si>
  <si>
    <t>ARRA: ARTS ACHIEVE</t>
  </si>
  <si>
    <t>Both Districts and High Schools include Special Education.  Support Operations includes Facilities, Transportation,  Food Services &amp; School Safety. The majority of</t>
  </si>
  <si>
    <t>CHARTER SCHOOLS</t>
  </si>
  <si>
    <t xml:space="preserve">UNIVERSAL PRE-KINDERGARTEN </t>
  </si>
  <si>
    <t>OTHER SERVICES/FEES (DOITT - Digital Media Capacity Building)</t>
  </si>
  <si>
    <t>Note: Dates are subject to change if DFO's payroll memorandums are revised during the year.</t>
  </si>
  <si>
    <t>Paryoll</t>
  </si>
  <si>
    <t>6/28-7/11</t>
  </si>
  <si>
    <t>3/11-3/24</t>
  </si>
  <si>
    <t>4/8-4/21</t>
  </si>
  <si>
    <t>6/3-6/16</t>
  </si>
  <si>
    <t>3/25-4/7</t>
  </si>
  <si>
    <t>4/22-5/5</t>
  </si>
  <si>
    <t>5/20-6/2</t>
  </si>
  <si>
    <t>6/17-6/30</t>
  </si>
  <si>
    <t>7/1-7/14</t>
  </si>
  <si>
    <t>7/15-7/28</t>
  </si>
  <si>
    <t>7/29-8/11</t>
  </si>
  <si>
    <t>8/12-8/25</t>
  </si>
  <si>
    <t>(6 vacation chks)</t>
  </si>
  <si>
    <t>*Payrolls are aligned with each month based on the check date, not the service period.</t>
  </si>
  <si>
    <t>Intra-City:</t>
  </si>
  <si>
    <t>OTHER SERVICES/FEES (DOHMH - Agency Nurse Tracking System)</t>
  </si>
  <si>
    <t>OTHER SERVICES/FEES (Board of Elections - Poll Site Improvements)</t>
  </si>
  <si>
    <t>OTHER SERVICES/FEES (DCAS - PlaNYC Energy and Outreach)</t>
  </si>
  <si>
    <t>OTHER SERVICES/FEES (Sanitation - Recycling Champions)</t>
  </si>
  <si>
    <t>YEAR-TO-DATE COMMITMENTS:</t>
  </si>
  <si>
    <t>UNIVERSAL PRE-KINDERGARTEN EXPANSION &amp; COMPETITIVE GRANT</t>
  </si>
  <si>
    <t xml:space="preserve">      Note:  City funds include Pension and Debt Service, but exclude collective bargaining funds in FY2015. Totals may not add up due to rounding.</t>
  </si>
  <si>
    <t>FY2016</t>
  </si>
  <si>
    <t>SEPTEMBER 2015 FSR</t>
  </si>
  <si>
    <t>FY2016 ADOPTED BUDGET &amp; PRIOR YEAR COMMITMENTS BY U/A GROUPING:</t>
  </si>
  <si>
    <t>FY2016 PAYROLL PERIODS AND CHECK DATES</t>
  </si>
  <si>
    <t>FY 2016</t>
  </si>
  <si>
    <t>Universal Pre-K - PS</t>
  </si>
  <si>
    <t>Universal Pre-K - OTPS</t>
  </si>
  <si>
    <t>OTHER SERVICES/FEES (DYCD - SONYC)</t>
  </si>
  <si>
    <t>INTRA - CITY RENTALS (NYPD - Rental)</t>
  </si>
  <si>
    <t>PAYROLL PERIODS AND CHECK DATES - FY 2016 *</t>
  </si>
  <si>
    <t>7/17</t>
  </si>
  <si>
    <t>7/26-8/8</t>
  </si>
  <si>
    <t>8/23-9/5</t>
  </si>
  <si>
    <t>9/20-10/3</t>
  </si>
  <si>
    <t>10/18-10/31</t>
  </si>
  <si>
    <t>11/15-11/28</t>
  </si>
  <si>
    <t>12/27-1/9</t>
  </si>
  <si>
    <t>1/24-2/6</t>
  </si>
  <si>
    <t>2/21-3/5</t>
  </si>
  <si>
    <t>3/20-4/2</t>
  </si>
  <si>
    <t>4/17-4/30</t>
  </si>
  <si>
    <t>5/15-5/28</t>
  </si>
  <si>
    <t>6/12-6/25</t>
  </si>
  <si>
    <t>7/12-7/25</t>
  </si>
  <si>
    <t>8/9-8/22</t>
  </si>
  <si>
    <t>9/6-9/19</t>
  </si>
  <si>
    <t>10/4-10/17</t>
  </si>
  <si>
    <t>11/1-11/14</t>
  </si>
  <si>
    <t>11/29-12/12</t>
  </si>
  <si>
    <t>1/10-1/23</t>
  </si>
  <si>
    <t>2/7-2/20</t>
  </si>
  <si>
    <t>3/6-3/19</t>
  </si>
  <si>
    <t>4/3-4/16</t>
  </si>
  <si>
    <t>5/1-5/14</t>
  </si>
  <si>
    <t>5/29-6/11</t>
  </si>
  <si>
    <t>6/26-7/9</t>
  </si>
  <si>
    <t>12/13-12/26</t>
  </si>
  <si>
    <t>7/10-7/23</t>
  </si>
  <si>
    <t>7/24-8/6</t>
  </si>
  <si>
    <t>8/7-8/20</t>
  </si>
  <si>
    <t>2/29</t>
  </si>
  <si>
    <t>3/1-3/15</t>
  </si>
  <si>
    <t>2/16-2/29</t>
  </si>
  <si>
    <t>7/1-7/2</t>
  </si>
  <si>
    <t>7/31-8/13</t>
  </si>
  <si>
    <t>8/28-9/10</t>
  </si>
  <si>
    <t>9/25-10/08</t>
  </si>
  <si>
    <t>10/23-11/5</t>
  </si>
  <si>
    <t>11/20-12/03</t>
  </si>
  <si>
    <t>1/1-1/14</t>
  </si>
  <si>
    <t>1/29-2/11</t>
  </si>
  <si>
    <t>2/26-3/10</t>
  </si>
  <si>
    <t>7/3-7/16</t>
  </si>
  <si>
    <t>8/14-8/27</t>
  </si>
  <si>
    <t>9/11-9/24</t>
  </si>
  <si>
    <t>10/9-10/22</t>
  </si>
  <si>
    <t>11/6-11/19</t>
  </si>
  <si>
    <t>12/04-12/17</t>
  </si>
  <si>
    <t>1/15-1/28</t>
  </si>
  <si>
    <t>2/12-2/25</t>
  </si>
  <si>
    <t>5/6-5/19</t>
  </si>
  <si>
    <t>7/17-7/30</t>
  </si>
  <si>
    <t>12/18-12/31</t>
  </si>
  <si>
    <t>9/9-9/22</t>
  </si>
  <si>
    <t>10/07-10/20</t>
  </si>
  <si>
    <t>11/4-11/17</t>
  </si>
  <si>
    <t>12/16-12/29</t>
  </si>
  <si>
    <t>1/13-1/26</t>
  </si>
  <si>
    <t>2/10-2/23</t>
  </si>
  <si>
    <t>3/9-3/22</t>
  </si>
  <si>
    <t>4/6-4/19</t>
  </si>
  <si>
    <t>5/4-5/17</t>
  </si>
  <si>
    <t>6/1-6/14</t>
  </si>
  <si>
    <t>8/26-9/8</t>
  </si>
  <si>
    <t>9/23-10/6</t>
  </si>
  <si>
    <t>10/21-11/3</t>
  </si>
  <si>
    <t>11/18-12/1</t>
  </si>
  <si>
    <t>12/30-1/12</t>
  </si>
  <si>
    <t>1/27-2/9</t>
  </si>
  <si>
    <t>2/24-3/8</t>
  </si>
  <si>
    <t>3/23-4/5</t>
  </si>
  <si>
    <t>4/20-5/3</t>
  </si>
  <si>
    <t>5/18-5/31</t>
  </si>
  <si>
    <t>6/15-6/28</t>
  </si>
  <si>
    <t>12/2-12/15</t>
  </si>
  <si>
    <t>6/29-7/12</t>
  </si>
  <si>
    <t>7/13-7/26</t>
  </si>
  <si>
    <t>7/27-8/9</t>
  </si>
  <si>
    <t>8/10-8/23</t>
  </si>
  <si>
    <t>6/29-6/30</t>
  </si>
  <si>
    <t>DOHMH - SAVOY Medical Supplies</t>
  </si>
  <si>
    <t>DOHMH - Agency Nurse Tracking System</t>
  </si>
  <si>
    <t>ICAL16121</t>
  </si>
  <si>
    <t>DCAS - PlaNYC Energy and Outreach Program</t>
  </si>
  <si>
    <t>ICPT16013</t>
  </si>
  <si>
    <t>7/28/15 &amp; 8/13/15</t>
  </si>
  <si>
    <t>IC16RMR027 &amp; 028</t>
  </si>
  <si>
    <t>16T076</t>
  </si>
  <si>
    <t>FY16BOEDOE</t>
  </si>
  <si>
    <t>as of 9/15/2015</t>
  </si>
  <si>
    <t>REVENUES AS % OF ADOPTED BUDGET:  FY2014 - FY2016</t>
  </si>
  <si>
    <t xml:space="preserve">BOE - Permanent Poll Site Improvement </t>
  </si>
  <si>
    <t>as of 9/18/15</t>
  </si>
  <si>
    <t>7/1/15 -  9/18/15</t>
  </si>
  <si>
    <t>PRESCHOOL DEVELOPMENT GRANTS</t>
  </si>
  <si>
    <t>► Historical Pie Charts</t>
  </si>
  <si>
    <t>Total Tax-levy Funding PS &amp; OTPS</t>
  </si>
  <si>
    <t xml:space="preserve">DSNY - Recycling Champion Program </t>
  </si>
  <si>
    <t>UNIVERSAL PRE-K EXPANSION &amp; COMPETITIVE GRANT</t>
  </si>
  <si>
    <t xml:space="preserve">FY 2016 </t>
  </si>
  <si>
    <t>Adopted Budget</t>
  </si>
  <si>
    <t>Total Approved Revenue Mods</t>
  </si>
  <si>
    <t>as of 9/24/2015</t>
  </si>
  <si>
    <t>YTD - 9/24/15</t>
  </si>
  <si>
    <t>OTHER SERVICES/FEES (DOHMH - Medical Supplies)</t>
  </si>
  <si>
    <t xml:space="preserve">Categorical funds are earmarked for Districts, High Schools, and Citywide Special Education. The collective bargaining reserve in FY2014 is excluded to facilitate   </t>
  </si>
  <si>
    <r>
      <t xml:space="preserve">comparability. This chart excludes GASB 49 related expenditures of </t>
    </r>
    <r>
      <rPr>
        <sz val="8"/>
        <rFont val="Calibri"/>
        <family val="2"/>
      </rPr>
      <t>$130 million for FY2015 and  $145.5 million for FY2014.</t>
    </r>
  </si>
  <si>
    <t>Note:  City funds include Pension and Debt Service, but exclude collective bargaining funds in FY2015.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</si>
</sst>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0.0"/>
    <numFmt numFmtId="171" formatCode="_(* #,##0.0_);_(* \(#,##0.0\);_(* &quot;-&quot;?_);_(@_)"/>
    <numFmt numFmtId="172" formatCode="_(&quot;$&quot;* #,##0.0_);_(&quot;$&quot;* \(#,##0.0\);_(&quot;$&quot;* &quot;-&quot;??_);_(@_)"/>
    <numFmt numFmtId="173" formatCode="&quot;$&quot;#,##0.0_);\(&quot;$&quot;#,##0.0\)"/>
    <numFmt numFmtId="174" formatCode="&quot;$&quot;#,##0.0"/>
    <numFmt numFmtId="175" formatCode="_(* #,##0_);_(* \(#,##0\);_(* &quot;-&quot;?_);_(@_)"/>
    <numFmt numFmtId="176" formatCode="m/d/yy;@"/>
    <numFmt numFmtId="177" formatCode="mm/dd/yy;@"/>
    <numFmt numFmtId="178" formatCode="_(* #,##0.0%_%\);_(* \(#,##0.0%\);_(%* &quot;-&quot;??_);_(@_)"/>
    <numFmt numFmtId="179" formatCode="[$-409]dddd\,\ mmmm\ dd\,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00_);\(#,##0.000\)"/>
    <numFmt numFmtId="187" formatCode="#,##0.000000_);\(#,##0.000000\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0.00000000"/>
    <numFmt numFmtId="191" formatCode="&quot;$&quot;#,##0"/>
    <numFmt numFmtId="192" formatCode="#,##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;@"/>
    <numFmt numFmtId="198" formatCode="0\ &quot;days&quot;"/>
    <numFmt numFmtId="199" formatCode="0\ &quot;Days&quot;"/>
    <numFmt numFmtId="200" formatCode="0\ &quot;Instructional Days&quot;"/>
    <numFmt numFmtId="201" formatCode="0\ &quot;for High Schools&quot;"/>
    <numFmt numFmtId="202" formatCode="_(* #,##0.0_);_(* \(#,##0.0\);_(* &quot;-&quot;_);_(@_)"/>
    <numFmt numFmtId="203" formatCode="0.0000%"/>
    <numFmt numFmtId="204" formatCode="_(&quot;$&quot;* #,##0.0_);_(&quot;$&quot;* \(#,##0.0\);_(&quot;$&quot;* &quot;-&quot;?_);_(@_)"/>
    <numFmt numFmtId="205" formatCode="[$-409]h:mm:ss\ AM/PM"/>
    <numFmt numFmtId="206" formatCode="mm/dd/yy"/>
    <numFmt numFmtId="207" formatCode="#,##0.0_);[Red]\(#,##0.0\)"/>
    <numFmt numFmtId="208" formatCode="_(* #,##0_);_(* \(#,##0\);_(* &quot;-&quot;????_);_(@_)"/>
    <numFmt numFmtId="209" formatCode="[$-409]mmm\-yy;@"/>
    <numFmt numFmtId="210" formatCode="_(* #,##0.0000_);_(* \(#,##0.0000\);_(* &quot;-&quot;??_);_(@_)"/>
    <numFmt numFmtId="211" formatCode="\$#,##0_);\(\$#,##0\)"/>
    <numFmt numFmtId="212" formatCode="#,##0.0000_);\(#,##0.0000\)"/>
    <numFmt numFmtId="213" formatCode="&quot;$&quot;#,##0.00"/>
    <numFmt numFmtId="214" formatCode="_(* #,##0.00_);_(* \(#,##0.00\);_(* &quot;-&quot;?_);_(@_)"/>
  </numFmts>
  <fonts count="133">
    <font>
      <sz val="10"/>
      <name val="Arial"/>
      <family val="0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u val="single"/>
      <sz val="9"/>
      <name val="Humanst521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b/>
      <sz val="11"/>
      <name val="Arial"/>
      <family val="2"/>
    </font>
    <font>
      <b/>
      <sz val="12"/>
      <name val="Humanst521 BT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9"/>
      <name val="Verdana"/>
      <family val="2"/>
    </font>
    <font>
      <b/>
      <i/>
      <sz val="10"/>
      <name val="Humanst521 BT"/>
      <family val="0"/>
    </font>
    <font>
      <b/>
      <sz val="14"/>
      <color indexed="60"/>
      <name val="Comic Sans MS"/>
      <family val="4"/>
    </font>
    <font>
      <b/>
      <u val="single"/>
      <sz val="14"/>
      <name val="Comic Sans MS"/>
      <family val="4"/>
    </font>
    <font>
      <b/>
      <u val="single"/>
      <sz val="11"/>
      <name val="Comic Sans MS"/>
      <family val="4"/>
    </font>
    <font>
      <b/>
      <sz val="17"/>
      <name val="Humanst521 BT"/>
      <family val="2"/>
    </font>
    <font>
      <i/>
      <sz val="13"/>
      <name val="Humanst521 BT"/>
      <family val="2"/>
    </font>
    <font>
      <sz val="11"/>
      <color indexed="8"/>
      <name val="Comic Sans MS"/>
      <family val="4"/>
    </font>
    <font>
      <sz val="11"/>
      <name val="Arial"/>
      <family val="2"/>
    </font>
    <font>
      <b/>
      <u val="single"/>
      <sz val="16"/>
      <name val="Helvetica"/>
      <family val="2"/>
    </font>
    <font>
      <sz val="8"/>
      <color indexed="8"/>
      <name val="Humanst521 BT"/>
      <family val="2"/>
    </font>
    <font>
      <u val="single"/>
      <sz val="9"/>
      <name val="Helvetica"/>
      <family val="2"/>
    </font>
    <font>
      <b/>
      <sz val="14"/>
      <name val="Geneva"/>
      <family val="0"/>
    </font>
    <font>
      <b/>
      <u val="single"/>
      <sz val="14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Geneva"/>
      <family val="0"/>
    </font>
    <font>
      <u val="single"/>
      <sz val="10"/>
      <name val="Geneva"/>
      <family val="0"/>
    </font>
    <font>
      <sz val="11"/>
      <color indexed="8"/>
      <name val="Helvetica"/>
      <family val="0"/>
    </font>
    <font>
      <sz val="14"/>
      <color indexed="8"/>
      <name val="Helvetica"/>
      <family val="0"/>
    </font>
    <font>
      <sz val="9.2"/>
      <color indexed="8"/>
      <name val="Garamond BoldCondensed"/>
      <family val="0"/>
    </font>
    <font>
      <b/>
      <u val="single"/>
      <sz val="10"/>
      <name val="Humanst521 BT"/>
      <family val="0"/>
    </font>
    <font>
      <sz val="9.2"/>
      <color indexed="8"/>
      <name val="Helvetica"/>
      <family val="0"/>
    </font>
    <font>
      <b/>
      <sz val="20"/>
      <name val="Abadi MT Condensed Light"/>
      <family val="2"/>
    </font>
    <font>
      <sz val="20"/>
      <name val="Abadi MT Condensed Light"/>
      <family val="2"/>
    </font>
    <font>
      <sz val="11"/>
      <name val="Verdana"/>
      <family val="2"/>
    </font>
    <font>
      <sz val="8"/>
      <name val="Calibri"/>
      <family val="2"/>
    </font>
    <font>
      <sz val="23.5"/>
      <color indexed="8"/>
      <name val="Arial"/>
      <family val="0"/>
    </font>
    <font>
      <sz val="12"/>
      <color indexed="8"/>
      <name val="Garamond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.5"/>
      <color indexed="8"/>
      <name val="Garamond"/>
      <family val="0"/>
    </font>
    <font>
      <sz val="2.25"/>
      <color indexed="8"/>
      <name val="Century Gothic"/>
      <family val="0"/>
    </font>
    <font>
      <sz val="1.5"/>
      <color indexed="8"/>
      <name val="Arial"/>
      <family val="0"/>
    </font>
    <font>
      <sz val="1.25"/>
      <color indexed="8"/>
      <name val="Garamond"/>
      <family val="0"/>
    </font>
    <font>
      <sz val="1.25"/>
      <color indexed="8"/>
      <name val="Century Gothic"/>
      <family val="0"/>
    </font>
    <font>
      <sz val="1.1"/>
      <color indexed="8"/>
      <name val="Arial"/>
      <family val="0"/>
    </font>
    <font>
      <sz val="1.4"/>
      <color indexed="8"/>
      <name val="Arial"/>
      <family val="0"/>
    </font>
    <font>
      <sz val="4.5"/>
      <color indexed="8"/>
      <name val="Garamond"/>
      <family val="0"/>
    </font>
    <font>
      <sz val="9"/>
      <color indexed="8"/>
      <name val="Verdana"/>
      <family val="0"/>
    </font>
    <font>
      <sz val="8.25"/>
      <color indexed="8"/>
      <name val="Verdana"/>
      <family val="0"/>
    </font>
    <font>
      <sz val="5.75"/>
      <color indexed="8"/>
      <name val="Garamond"/>
      <family val="0"/>
    </font>
    <font>
      <sz val="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i/>
      <sz val="8"/>
      <color indexed="8"/>
      <name val="Humanst521 BT"/>
      <family val="0"/>
    </font>
    <font>
      <b/>
      <sz val="12"/>
      <name val="Calibri"/>
      <family val="2"/>
    </font>
    <font>
      <sz val="9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20"/>
      <color indexed="10"/>
      <name val="Abadi MT Condensed Light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Helvetica"/>
      <family val="0"/>
    </font>
    <font>
      <sz val="9.75"/>
      <color indexed="8"/>
      <name val="Garamond"/>
      <family val="0"/>
    </font>
    <font>
      <b/>
      <u val="single"/>
      <sz val="3"/>
      <color indexed="8"/>
      <name val="Helvetica"/>
      <family val="0"/>
    </font>
    <font>
      <b/>
      <u val="single"/>
      <sz val="2.75"/>
      <color indexed="8"/>
      <name val="Helvetica"/>
      <family val="0"/>
    </font>
    <font>
      <b/>
      <u val="single"/>
      <sz val="1.5"/>
      <color indexed="8"/>
      <name val="Arial"/>
      <family val="0"/>
    </font>
    <font>
      <b/>
      <u val="single"/>
      <sz val="2.75"/>
      <color indexed="8"/>
      <name val="Helvetica "/>
      <family val="0"/>
    </font>
    <font>
      <b/>
      <u val="single"/>
      <sz val="11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Humanst521 BT"/>
      <family val="0"/>
    </font>
    <font>
      <sz val="20"/>
      <color rgb="FFFF0000"/>
      <name val="Abadi MT Condensed Light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>
        <color indexed="63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3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37" fontId="6" fillId="0" borderId="0" xfId="42" applyNumberFormat="1" applyFont="1" applyAlignment="1">
      <alignment horizontal="centerContinuous"/>
    </xf>
    <xf numFmtId="164" fontId="7" fillId="0" borderId="0" xfId="42" applyNumberFormat="1" applyFont="1" applyAlignment="1">
      <alignment/>
    </xf>
    <xf numFmtId="37" fontId="8" fillId="0" borderId="10" xfId="42" applyNumberFormat="1" applyFont="1" applyBorder="1" applyAlignment="1">
      <alignment horizontal="center"/>
    </xf>
    <xf numFmtId="164" fontId="8" fillId="0" borderId="10" xfId="42" applyNumberFormat="1" applyFont="1" applyBorder="1" applyAlignment="1">
      <alignment horizontal="left"/>
    </xf>
    <xf numFmtId="164" fontId="8" fillId="0" borderId="0" xfId="60" applyNumberFormat="1" applyFont="1">
      <alignment/>
      <protection/>
    </xf>
    <xf numFmtId="164" fontId="8" fillId="0" borderId="0" xfId="42" applyNumberFormat="1" applyFont="1" applyAlignment="1">
      <alignment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 applyProtection="1">
      <alignment horizontal="center"/>
      <protection/>
    </xf>
    <xf numFmtId="164" fontId="8" fillId="0" borderId="0" xfId="42" applyNumberFormat="1" applyFont="1" applyAlignment="1" applyProtection="1">
      <alignment horizontal="left"/>
      <protection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left"/>
      <protection/>
    </xf>
    <xf numFmtId="164" fontId="6" fillId="0" borderId="11" xfId="42" applyNumberFormat="1" applyFont="1" applyBorder="1" applyAlignment="1" applyProtection="1">
      <alignment horizontal="left"/>
      <protection/>
    </xf>
    <xf numFmtId="164" fontId="8" fillId="0" borderId="11" xfId="42" applyNumberFormat="1" applyFont="1" applyBorder="1" applyAlignment="1">
      <alignment horizontal="left"/>
    </xf>
    <xf numFmtId="164" fontId="8" fillId="0" borderId="11" xfId="42" applyNumberFormat="1" applyFont="1" applyBorder="1" applyAlignment="1">
      <alignment/>
    </xf>
    <xf numFmtId="37" fontId="11" fillId="0" borderId="12" xfId="42" applyNumberFormat="1" applyFont="1" applyBorder="1" applyAlignment="1" applyProtection="1">
      <alignment horizontal="left"/>
      <protection/>
    </xf>
    <xf numFmtId="164" fontId="11" fillId="0" borderId="12" xfId="42" applyNumberFormat="1" applyFont="1" applyBorder="1" applyAlignment="1" applyProtection="1">
      <alignment horizontal="left"/>
      <protection/>
    </xf>
    <xf numFmtId="164" fontId="11" fillId="0" borderId="0" xfId="42" applyNumberFormat="1" applyFont="1" applyAlignment="1">
      <alignment/>
    </xf>
    <xf numFmtId="37" fontId="8" fillId="0" borderId="0" xfId="42" applyNumberFormat="1" applyFont="1" applyBorder="1" applyAlignment="1" applyProtection="1">
      <alignment horizontal="center"/>
      <protection/>
    </xf>
    <xf numFmtId="164" fontId="8" fillId="0" borderId="0" xfId="42" applyNumberFormat="1" applyFont="1" applyBorder="1" applyAlignment="1" applyProtection="1">
      <alignment horizontal="left"/>
      <protection/>
    </xf>
    <xf numFmtId="164" fontId="12" fillId="0" borderId="0" xfId="42" applyNumberFormat="1" applyFont="1" applyAlignment="1" applyProtection="1">
      <alignment horizontal="left"/>
      <protection/>
    </xf>
    <xf numFmtId="164" fontId="8" fillId="0" borderId="0" xfId="42" applyNumberFormat="1" applyFont="1" applyAlignment="1">
      <alignment horizontal="left"/>
    </xf>
    <xf numFmtId="37" fontId="8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60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" fontId="6" fillId="0" borderId="0" xfId="42" applyNumberFormat="1" applyFont="1" applyFill="1" applyAlignment="1">
      <alignment horizontal="center"/>
    </xf>
    <xf numFmtId="1" fontId="6" fillId="0" borderId="13" xfId="42" applyNumberFormat="1" applyFont="1" applyBorder="1" applyAlignment="1">
      <alignment horizontal="center"/>
    </xf>
    <xf numFmtId="37" fontId="16" fillId="0" borderId="13" xfId="42" applyNumberFormat="1" applyFont="1" applyBorder="1" applyAlignment="1">
      <alignment horizontal="center"/>
    </xf>
    <xf numFmtId="1" fontId="6" fillId="0" borderId="0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0" xfId="42" applyNumberFormat="1" applyFont="1" applyBorder="1" applyAlignment="1">
      <alignment horizontal="left"/>
    </xf>
    <xf numFmtId="37" fontId="16" fillId="0" borderId="0" xfId="42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0" fillId="0" borderId="14" xfId="58" applyNumberFormat="1" applyFont="1" applyBorder="1" applyAlignment="1" applyProtection="1">
      <alignment horizontal="left"/>
      <protection/>
    </xf>
    <xf numFmtId="164" fontId="10" fillId="0" borderId="0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Border="1" applyAlignment="1" applyProtection="1">
      <alignment horizontal="right"/>
      <protection/>
    </xf>
    <xf numFmtId="164" fontId="6" fillId="0" borderId="0" xfId="58" applyNumberFormat="1" applyFont="1" applyBorder="1" applyAlignment="1">
      <alignment horizontal="right"/>
      <protection/>
    </xf>
    <xf numFmtId="164" fontId="6" fillId="0" borderId="0" xfId="0" applyNumberFormat="1" applyFont="1" applyAlignment="1">
      <alignment horizontal="right"/>
    </xf>
    <xf numFmtId="164" fontId="6" fillId="0" borderId="0" xfId="58" applyNumberFormat="1" applyFont="1" applyFill="1" applyAlignment="1">
      <alignment horizontal="right"/>
      <protection/>
    </xf>
    <xf numFmtId="164" fontId="10" fillId="0" borderId="14" xfId="58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Alignment="1">
      <alignment horizontal="right"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58" applyNumberFormat="1" applyFont="1" applyFill="1" applyAlignment="1" quotePrefix="1">
      <alignment horizontal="right"/>
      <protection/>
    </xf>
    <xf numFmtId="164" fontId="10" fillId="0" borderId="14" xfId="58" applyNumberFormat="1" applyFont="1" applyFill="1" applyBorder="1" applyAlignment="1" applyProtection="1" quotePrefix="1">
      <alignment horizontal="left"/>
      <protection/>
    </xf>
    <xf numFmtId="164" fontId="10" fillId="0" borderId="0" xfId="58" applyNumberFormat="1" applyFont="1" applyFill="1" applyBorder="1" applyAlignment="1" applyProtection="1" quotePrefix="1">
      <alignment horizontal="left"/>
      <protection/>
    </xf>
    <xf numFmtId="37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7" fontId="6" fillId="0" borderId="0" xfId="42" applyNumberFormat="1" applyFont="1" applyBorder="1" applyAlignment="1">
      <alignment horizontal="center"/>
    </xf>
    <xf numFmtId="37" fontId="16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58" applyNumberFormat="1" applyFont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164" fontId="6" fillId="0" borderId="0" xfId="58" applyNumberFormat="1" applyFont="1" applyAlignment="1" applyProtection="1">
      <alignment horizontal="right"/>
      <protection/>
    </xf>
    <xf numFmtId="164" fontId="6" fillId="0" borderId="0" xfId="58" applyNumberFormat="1" applyFont="1" applyAlignment="1" applyProtection="1" quotePrefix="1">
      <alignment horizontal="right"/>
      <protection/>
    </xf>
    <xf numFmtId="164" fontId="6" fillId="0" borderId="0" xfId="58" applyNumberFormat="1" applyFont="1" applyFill="1" applyAlignment="1">
      <alignment horizontal="right"/>
      <protection/>
    </xf>
    <xf numFmtId="164" fontId="6" fillId="0" borderId="15" xfId="42" applyNumberFormat="1" applyFont="1" applyBorder="1" applyAlignment="1" applyProtection="1">
      <alignment horizontal="left"/>
      <protection/>
    </xf>
    <xf numFmtId="164" fontId="6" fillId="0" borderId="15" xfId="42" applyNumberFormat="1" applyFont="1" applyBorder="1" applyAlignment="1">
      <alignment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42" applyNumberFormat="1" applyFont="1" applyAlignment="1" applyProtection="1" quotePrefix="1">
      <alignment horizontal="left"/>
      <protection/>
    </xf>
    <xf numFmtId="164" fontId="6" fillId="0" borderId="0" xfId="42" applyNumberFormat="1" applyFont="1" applyAlignment="1">
      <alignment horizontal="left"/>
    </xf>
    <xf numFmtId="164" fontId="9" fillId="0" borderId="0" xfId="42" applyNumberFormat="1" applyFont="1" applyAlignment="1" applyProtection="1">
      <alignment horizontal="center"/>
      <protection/>
    </xf>
    <xf numFmtId="164" fontId="6" fillId="0" borderId="0" xfId="42" applyNumberFormat="1" applyFont="1" applyAlignment="1" applyProtection="1">
      <alignment horizontal="center"/>
      <protection/>
    </xf>
    <xf numFmtId="37" fontId="6" fillId="0" borderId="0" xfId="42" applyNumberFormat="1" applyFont="1" applyAlignment="1" applyProtection="1">
      <alignment horizontal="center"/>
      <protection/>
    </xf>
    <xf numFmtId="164" fontId="6" fillId="0" borderId="0" xfId="60" applyNumberFormat="1" applyFont="1" applyAlignment="1" quotePrefix="1">
      <alignment horizontal="center"/>
      <protection/>
    </xf>
    <xf numFmtId="164" fontId="9" fillId="0" borderId="10" xfId="42" applyNumberFormat="1" applyFont="1" applyBorder="1" applyAlignment="1" applyProtection="1">
      <alignment horizontal="center"/>
      <protection/>
    </xf>
    <xf numFmtId="164" fontId="9" fillId="0" borderId="10" xfId="60" applyNumberFormat="1" applyFont="1" applyBorder="1" applyAlignment="1" quotePrefix="1">
      <alignment horizontal="center"/>
      <protection/>
    </xf>
    <xf numFmtId="37" fontId="9" fillId="0" borderId="0" xfId="42" applyNumberFormat="1" applyFont="1" applyAlignment="1" applyProtection="1">
      <alignment/>
      <protection/>
    </xf>
    <xf numFmtId="37" fontId="6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 quotePrefix="1">
      <alignment horizontal="center"/>
      <protection/>
    </xf>
    <xf numFmtId="37" fontId="21" fillId="0" borderId="0" xfId="60" applyNumberFormat="1" applyFont="1">
      <alignment/>
      <protection/>
    </xf>
    <xf numFmtId="164" fontId="6" fillId="0" borderId="1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164" fontId="6" fillId="0" borderId="0" xfId="42" applyNumberFormat="1" applyFont="1" applyBorder="1" applyAlignment="1" applyProtection="1">
      <alignment horizontal="left"/>
      <protection/>
    </xf>
    <xf numFmtId="164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Alignment="1">
      <alignment horizontal="left"/>
    </xf>
    <xf numFmtId="164" fontId="6" fillId="0" borderId="12" xfId="42" applyNumberFormat="1" applyFont="1" applyBorder="1" applyAlignment="1">
      <alignment/>
    </xf>
    <xf numFmtId="5" fontId="6" fillId="0" borderId="12" xfId="42" applyNumberFormat="1" applyFont="1" applyBorder="1" applyAlignment="1">
      <alignment/>
    </xf>
    <xf numFmtId="166" fontId="6" fillId="0" borderId="0" xfId="42" applyNumberFormat="1" applyFont="1" applyAlignment="1">
      <alignment horizontal="right"/>
    </xf>
    <xf numFmtId="166" fontId="6" fillId="0" borderId="0" xfId="58" applyNumberFormat="1" applyFont="1" applyAlignment="1">
      <alignment horizontal="right"/>
      <protection/>
    </xf>
    <xf numFmtId="166" fontId="6" fillId="0" borderId="0" xfId="58" applyNumberFormat="1" applyFont="1" applyBorder="1" applyAlignment="1">
      <alignment horizontal="right"/>
      <protection/>
    </xf>
    <xf numFmtId="166" fontId="6" fillId="0" borderId="0" xfId="58" applyNumberFormat="1" applyFont="1" applyFill="1" applyAlignment="1">
      <alignment horizontal="right"/>
      <protection/>
    </xf>
    <xf numFmtId="37" fontId="6" fillId="0" borderId="13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6" fillId="0" borderId="10" xfId="42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6" fillId="0" borderId="0" xfId="61" applyFont="1" applyAlignment="1">
      <alignment horizontal="left"/>
      <protection/>
    </xf>
    <xf numFmtId="168" fontId="6" fillId="0" borderId="0" xfId="61" applyNumberFormat="1" applyFont="1" applyAlignment="1">
      <alignment horizontal="left"/>
      <protection/>
    </xf>
    <xf numFmtId="166" fontId="6" fillId="0" borderId="0" xfId="61" applyNumberFormat="1" applyFont="1" applyAlignment="1">
      <alignment horizontal="left"/>
      <protection/>
    </xf>
    <xf numFmtId="167" fontId="6" fillId="0" borderId="0" xfId="42" applyNumberFormat="1" applyFont="1" applyAlignment="1">
      <alignment horizontal="left"/>
    </xf>
    <xf numFmtId="0" fontId="6" fillId="0" borderId="12" xfId="61" applyFont="1" applyBorder="1" applyAlignment="1">
      <alignment horizontal="left"/>
      <protection/>
    </xf>
    <xf numFmtId="166" fontId="23" fillId="0" borderId="0" xfId="0" applyNumberFormat="1" applyFont="1" applyAlignment="1">
      <alignment/>
    </xf>
    <xf numFmtId="167" fontId="6" fillId="0" borderId="0" xfId="42" applyNumberFormat="1" applyFont="1" applyAlignment="1">
      <alignment/>
    </xf>
    <xf numFmtId="173" fontId="6" fillId="0" borderId="14" xfId="45" applyNumberFormat="1" applyFont="1" applyFill="1" applyBorder="1" applyAlignment="1">
      <alignment horizontal="right"/>
    </xf>
    <xf numFmtId="173" fontId="6" fillId="0" borderId="0" xfId="58" applyNumberFormat="1" applyFont="1" applyFill="1" applyBorder="1" applyAlignment="1" applyProtection="1" quotePrefix="1">
      <alignment horizontal="right"/>
      <protection/>
    </xf>
    <xf numFmtId="173" fontId="6" fillId="0" borderId="0" xfId="45" applyNumberFormat="1" applyFont="1" applyFill="1" applyBorder="1" applyAlignment="1">
      <alignment horizontal="right"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0" applyNumberFormat="1" applyFont="1" applyFill="1" applyAlignment="1">
      <alignment horizontal="right"/>
    </xf>
    <xf numFmtId="173" fontId="6" fillId="0" borderId="14" xfId="45" applyNumberFormat="1" applyFont="1" applyBorder="1" applyAlignment="1" applyProtection="1">
      <alignment horizontal="right"/>
      <protection/>
    </xf>
    <xf numFmtId="164" fontId="10" fillId="0" borderId="0" xfId="58" applyNumberFormat="1" applyFont="1" applyFill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164" fontId="10" fillId="0" borderId="0" xfId="0" applyNumberFormat="1" applyFont="1" applyAlignment="1">
      <alignment horizontal="left"/>
    </xf>
    <xf numFmtId="164" fontId="10" fillId="0" borderId="0" xfId="58" applyNumberFormat="1" applyFont="1" applyAlignment="1">
      <alignment horizontal="left"/>
      <protection/>
    </xf>
    <xf numFmtId="164" fontId="10" fillId="0" borderId="0" xfId="58" applyNumberFormat="1" applyFont="1" applyFill="1" applyAlignment="1">
      <alignment horizontal="left"/>
      <protection/>
    </xf>
    <xf numFmtId="164" fontId="10" fillId="0" borderId="0" xfId="0" applyNumberFormat="1" applyFont="1" applyFill="1" applyAlignment="1">
      <alignment horizontal="left"/>
    </xf>
    <xf numFmtId="164" fontId="10" fillId="0" borderId="0" xfId="58" applyNumberFormat="1" applyFont="1" applyFill="1" applyAlignment="1" quotePrefix="1">
      <alignment horizontal="left"/>
      <protection/>
    </xf>
    <xf numFmtId="0" fontId="10" fillId="0" borderId="0" xfId="61" applyFont="1" applyAlignment="1">
      <alignment horizontal="left"/>
      <protection/>
    </xf>
    <xf numFmtId="0" fontId="10" fillId="0" borderId="12" xfId="61" applyFont="1" applyBorder="1" applyAlignment="1">
      <alignment horizontal="left"/>
      <protection/>
    </xf>
    <xf numFmtId="0" fontId="22" fillId="0" borderId="0" xfId="0" applyFont="1" applyAlignment="1">
      <alignment/>
    </xf>
    <xf numFmtId="164" fontId="26" fillId="0" borderId="0" xfId="58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" fontId="10" fillId="0" borderId="0" xfId="58" applyNumberFormat="1" applyFont="1" applyAlignment="1" applyProtection="1" quotePrefix="1">
      <alignment horizontal="center"/>
      <protection/>
    </xf>
    <xf numFmtId="1" fontId="25" fillId="0" borderId="0" xfId="58" applyNumberFormat="1" applyFont="1" applyAlignment="1" applyProtection="1" quotePrefix="1">
      <alignment horizontal="left"/>
      <protection/>
    </xf>
    <xf numFmtId="1" fontId="25" fillId="0" borderId="0" xfId="58" applyNumberFormat="1" applyFont="1" applyAlignment="1" applyProtection="1">
      <alignment horizontal="left"/>
      <protection/>
    </xf>
    <xf numFmtId="1" fontId="10" fillId="0" borderId="0" xfId="58" applyNumberFormat="1" applyFont="1" applyFill="1" applyAlignment="1">
      <alignment horizontal="left"/>
      <protection/>
    </xf>
    <xf numFmtId="1" fontId="25" fillId="0" borderId="0" xfId="58" applyNumberFormat="1" applyFont="1" applyFill="1" applyAlignment="1" applyProtection="1">
      <alignment horizontal="left"/>
      <protection/>
    </xf>
    <xf numFmtId="1" fontId="10" fillId="0" borderId="0" xfId="58" applyNumberFormat="1" applyFont="1" applyFill="1" applyAlignment="1" applyProtection="1" quotePrefix="1">
      <alignment horizontal="left"/>
      <protection/>
    </xf>
    <xf numFmtId="1" fontId="25" fillId="0" borderId="0" xfId="58" applyNumberFormat="1" applyFont="1" applyFill="1" applyAlignment="1" applyProtection="1" quotePrefix="1">
      <alignment horizontal="left"/>
      <protection/>
    </xf>
    <xf numFmtId="1" fontId="10" fillId="0" borderId="0" xfId="58" applyNumberFormat="1" applyFont="1" applyFill="1" applyAlignment="1" quotePrefix="1">
      <alignment horizontal="left"/>
      <protection/>
    </xf>
    <xf numFmtId="0" fontId="10" fillId="0" borderId="0" xfId="63" applyFont="1" applyBorder="1">
      <alignment/>
      <protection/>
    </xf>
    <xf numFmtId="37" fontId="6" fillId="0" borderId="0" xfId="42" applyNumberFormat="1" applyFont="1" applyBorder="1" applyAlignment="1" applyProtection="1">
      <alignment horizontal="right"/>
      <protection/>
    </xf>
    <xf numFmtId="164" fontId="6" fillId="0" borderId="0" xfId="42" applyNumberFormat="1" applyFont="1" applyBorder="1" applyAlignment="1">
      <alignment horizontal="right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63" applyNumberFormat="1" applyFont="1" applyBorder="1" applyAlignment="1">
      <alignment horizontal="center"/>
      <protection/>
    </xf>
    <xf numFmtId="37" fontId="10" fillId="0" borderId="0" xfId="63" applyNumberFormat="1" applyFont="1" applyBorder="1">
      <alignment/>
      <protection/>
    </xf>
    <xf numFmtId="37" fontId="17" fillId="0" borderId="0" xfId="63" applyNumberFormat="1" applyFont="1" applyBorder="1">
      <alignment/>
      <protection/>
    </xf>
    <xf numFmtId="37" fontId="10" fillId="0" borderId="16" xfId="63" applyNumberFormat="1" applyFont="1" applyBorder="1">
      <alignment/>
      <protection/>
    </xf>
    <xf numFmtId="0" fontId="10" fillId="0" borderId="16" xfId="63" applyFont="1" applyBorder="1">
      <alignment/>
      <protection/>
    </xf>
    <xf numFmtId="37" fontId="17" fillId="0" borderId="16" xfId="63" applyNumberFormat="1" applyFont="1" applyBorder="1">
      <alignment/>
      <protection/>
    </xf>
    <xf numFmtId="37" fontId="6" fillId="0" borderId="0" xfId="42" applyNumberFormat="1" applyFont="1" applyBorder="1" applyAlignment="1" applyProtection="1">
      <alignment horizontal="left"/>
      <protection/>
    </xf>
    <xf numFmtId="37" fontId="19" fillId="0" borderId="0" xfId="63" applyNumberFormat="1" applyFont="1" applyBorder="1">
      <alignment/>
      <protection/>
    </xf>
    <xf numFmtId="37" fontId="19" fillId="0" borderId="0" xfId="42" applyNumberFormat="1" applyFont="1" applyBorder="1" applyAlignment="1">
      <alignment/>
    </xf>
    <xf numFmtId="0" fontId="6" fillId="0" borderId="0" xfId="63" applyFont="1" applyBorder="1">
      <alignment/>
      <protection/>
    </xf>
    <xf numFmtId="164" fontId="6" fillId="0" borderId="0" xfId="42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>
      <alignment/>
    </xf>
    <xf numFmtId="0" fontId="6" fillId="0" borderId="0" xfId="59" applyFont="1" applyBorder="1">
      <alignment/>
      <protection/>
    </xf>
    <xf numFmtId="37" fontId="6" fillId="0" borderId="0" xfId="42" applyNumberFormat="1" applyFont="1" applyBorder="1" applyAlignment="1" applyProtection="1" quotePrefix="1">
      <alignment horizontal="left"/>
      <protection/>
    </xf>
    <xf numFmtId="164" fontId="19" fillId="0" borderId="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Border="1" applyAlignment="1" applyProtection="1">
      <alignment/>
      <protection/>
    </xf>
    <xf numFmtId="164" fontId="9" fillId="0" borderId="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37" fontId="8" fillId="0" borderId="10" xfId="42" applyNumberFormat="1" applyFont="1" applyBorder="1" applyAlignment="1">
      <alignment/>
    </xf>
    <xf numFmtId="169" fontId="6" fillId="0" borderId="0" xfId="42" applyNumberFormat="1" applyFont="1" applyBorder="1" applyAlignment="1">
      <alignment/>
    </xf>
    <xf numFmtId="0" fontId="8" fillId="0" borderId="0" xfId="42" applyNumberFormat="1" applyFont="1" applyBorder="1" applyAlignment="1" applyProtection="1">
      <alignment horizontal="left"/>
      <protection/>
    </xf>
    <xf numFmtId="0" fontId="8" fillId="0" borderId="0" xfId="62" applyFont="1">
      <alignment/>
      <protection/>
    </xf>
    <xf numFmtId="166" fontId="6" fillId="0" borderId="0" xfId="42" applyNumberFormat="1" applyFont="1" applyAlignment="1">
      <alignment/>
    </xf>
    <xf numFmtId="0" fontId="8" fillId="0" borderId="13" xfId="62" applyFont="1" applyBorder="1">
      <alignment/>
      <protection/>
    </xf>
    <xf numFmtId="167" fontId="6" fillId="0" borderId="13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167" fontId="6" fillId="0" borderId="0" xfId="42" applyNumberFormat="1" applyFont="1" applyBorder="1" applyAlignment="1">
      <alignment horizontal="center"/>
    </xf>
    <xf numFmtId="166" fontId="6" fillId="0" borderId="0" xfId="42" applyNumberFormat="1" applyFont="1" applyBorder="1" applyAlignment="1">
      <alignment horizontal="center"/>
    </xf>
    <xf numFmtId="0" fontId="8" fillId="0" borderId="0" xfId="62" applyFont="1" applyBorder="1" applyAlignment="1">
      <alignment horizontal="right"/>
      <protection/>
    </xf>
    <xf numFmtId="0" fontId="8" fillId="0" borderId="10" xfId="62" applyFont="1" applyBorder="1" applyAlignment="1">
      <alignment horizontal="right"/>
      <protection/>
    </xf>
    <xf numFmtId="167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0" fontId="8" fillId="0" borderId="0" xfId="59" applyFont="1">
      <alignment/>
      <protection/>
    </xf>
    <xf numFmtId="164" fontId="7" fillId="0" borderId="0" xfId="42" applyNumberFormat="1" applyFont="1" applyBorder="1" applyAlignment="1">
      <alignment/>
    </xf>
    <xf numFmtId="166" fontId="6" fillId="0" borderId="0" xfId="42" applyNumberFormat="1" applyFont="1" applyAlignment="1">
      <alignment horizontal="centerContinuous"/>
    </xf>
    <xf numFmtId="0" fontId="6" fillId="0" borderId="0" xfId="62" applyFont="1" applyAlignment="1">
      <alignment horizontal="right"/>
      <protection/>
    </xf>
    <xf numFmtId="167" fontId="6" fillId="0" borderId="0" xfId="42" applyNumberFormat="1" applyFont="1" applyAlignment="1">
      <alignment horizontal="center"/>
    </xf>
    <xf numFmtId="166" fontId="6" fillId="0" borderId="0" xfId="42" applyNumberFormat="1" applyFont="1" applyAlignment="1">
      <alignment horizontal="center"/>
    </xf>
    <xf numFmtId="49" fontId="6" fillId="0" borderId="0" xfId="62" applyNumberFormat="1" applyFont="1" quotePrefix="1">
      <alignment/>
      <protection/>
    </xf>
    <xf numFmtId="0" fontId="6" fillId="0" borderId="0" xfId="59" applyFont="1">
      <alignment/>
      <protection/>
    </xf>
    <xf numFmtId="0" fontId="1" fillId="0" borderId="0" xfId="59" applyFont="1">
      <alignment/>
      <protection/>
    </xf>
    <xf numFmtId="0" fontId="2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2" xfId="61" applyFont="1" applyBorder="1" applyAlignment="1">
      <alignment horizontal="left"/>
      <protection/>
    </xf>
    <xf numFmtId="176" fontId="6" fillId="0" borderId="0" xfId="42" applyNumberFormat="1" applyFont="1" applyAlignment="1" applyProtection="1" quotePrefix="1">
      <alignment horizontal="center"/>
      <protection/>
    </xf>
    <xf numFmtId="164" fontId="6" fillId="0" borderId="0" xfId="42" applyNumberFormat="1" applyFont="1" applyBorder="1" applyAlignment="1">
      <alignment/>
    </xf>
    <xf numFmtId="164" fontId="6" fillId="0" borderId="0" xfId="45" applyNumberFormat="1" applyFont="1" applyAlignment="1">
      <alignment horizontal="right" readingOrder="1"/>
    </xf>
    <xf numFmtId="0" fontId="8" fillId="0" borderId="0" xfId="59" applyFont="1" applyAlignment="1">
      <alignment horizontal="right"/>
      <protection/>
    </xf>
    <xf numFmtId="166" fontId="6" fillId="0" borderId="0" xfId="42" applyNumberFormat="1" applyFont="1" applyFill="1" applyAlignment="1">
      <alignment/>
    </xf>
    <xf numFmtId="37" fontId="6" fillId="0" borderId="0" xfId="42" applyNumberFormat="1" applyFont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64" fontId="6" fillId="0" borderId="0" xfId="58" applyNumberFormat="1" applyFont="1" applyAlignment="1">
      <alignment/>
      <protection/>
    </xf>
    <xf numFmtId="164" fontId="20" fillId="0" borderId="0" xfId="58" applyNumberFormat="1" applyFont="1" applyFill="1" applyAlignment="1">
      <alignment/>
      <protection/>
    </xf>
    <xf numFmtId="164" fontId="6" fillId="0" borderId="0" xfId="42" applyNumberFormat="1" applyFont="1" applyAlignment="1">
      <alignment horizontal="right"/>
    </xf>
    <xf numFmtId="164" fontId="6" fillId="0" borderId="0" xfId="42" applyNumberFormat="1" applyFont="1" applyFill="1" applyAlignment="1">
      <alignment horizontal="right"/>
    </xf>
    <xf numFmtId="173" fontId="6" fillId="0" borderId="12" xfId="45" applyNumberFormat="1" applyFont="1" applyBorder="1" applyAlignment="1">
      <alignment horizontal="right" readingOrder="1"/>
    </xf>
    <xf numFmtId="37" fontId="5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Continuous"/>
    </xf>
    <xf numFmtId="0" fontId="23" fillId="0" borderId="0" xfId="0" applyFont="1" applyAlignment="1">
      <alignment horizontal="center"/>
    </xf>
    <xf numFmtId="37" fontId="16" fillId="0" borderId="10" xfId="42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5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69" fontId="20" fillId="0" borderId="0" xfId="66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20" fillId="0" borderId="14" xfId="66" applyNumberFormat="1" applyFont="1" applyFill="1" applyBorder="1" applyAlignment="1">
      <alignment/>
    </xf>
    <xf numFmtId="1" fontId="9" fillId="0" borderId="0" xfId="58" applyNumberFormat="1" applyFont="1" applyFill="1" applyAlignment="1" applyProtection="1" quotePrefix="1">
      <alignment horizontal="left"/>
      <protection/>
    </xf>
    <xf numFmtId="164" fontId="1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quotePrefix="1">
      <alignment horizontal="left"/>
      <protection/>
    </xf>
    <xf numFmtId="164" fontId="16" fillId="0" borderId="0" xfId="58" applyNumberFormat="1" applyFont="1" applyFill="1" applyAlignment="1" quotePrefix="1">
      <alignment horizontal="left"/>
      <protection/>
    </xf>
    <xf numFmtId="164" fontId="16" fillId="0" borderId="14" xfId="58" applyNumberFormat="1" applyFont="1" applyFill="1" applyBorder="1" applyAlignment="1" applyProtection="1" quotePrefix="1">
      <alignment horizontal="left"/>
      <protection/>
    </xf>
    <xf numFmtId="169" fontId="6" fillId="0" borderId="14" xfId="66" applyNumberFormat="1" applyFont="1" applyFill="1" applyBorder="1" applyAlignment="1">
      <alignment horizontal="right"/>
    </xf>
    <xf numFmtId="164" fontId="16" fillId="0" borderId="0" xfId="58" applyNumberFormat="1" applyFont="1" applyFill="1" applyBorder="1" applyAlignment="1" applyProtection="1" quotePrefix="1">
      <alignment horizontal="left"/>
      <protection/>
    </xf>
    <xf numFmtId="164" fontId="6" fillId="0" borderId="13" xfId="58" applyNumberFormat="1" applyFont="1" applyFill="1" applyBorder="1" applyAlignment="1" applyProtection="1" quotePrefix="1">
      <alignment horizontal="right"/>
      <protection/>
    </xf>
    <xf numFmtId="172" fontId="6" fillId="0" borderId="13" xfId="45" applyNumberFormat="1" applyFont="1" applyFill="1" applyBorder="1" applyAlignment="1">
      <alignment horizontal="right"/>
    </xf>
    <xf numFmtId="1" fontId="6" fillId="0" borderId="0" xfId="58" applyNumberFormat="1" applyFont="1" applyFill="1" applyAlignment="1">
      <alignment horizontal="left"/>
      <protection/>
    </xf>
    <xf numFmtId="164" fontId="16" fillId="0" borderId="0" xfId="58" applyNumberFormat="1" applyFont="1" applyFill="1" applyAlignment="1">
      <alignment horizontal="left"/>
      <protection/>
    </xf>
    <xf numFmtId="173" fontId="6" fillId="0" borderId="10" xfId="45" applyNumberFormat="1" applyFont="1" applyBorder="1" applyAlignment="1" applyProtection="1">
      <alignment horizontal="right"/>
      <protection/>
    </xf>
    <xf numFmtId="164" fontId="24" fillId="0" borderId="14" xfId="58" applyNumberFormat="1" applyFont="1" applyFill="1" applyBorder="1" applyAlignment="1" applyProtection="1">
      <alignment horizontal="left"/>
      <protection/>
    </xf>
    <xf numFmtId="173" fontId="6" fillId="0" borderId="14" xfId="58" applyNumberFormat="1" applyFont="1" applyBorder="1" applyAlignment="1" applyProtection="1">
      <alignment horizontal="right"/>
      <protection/>
    </xf>
    <xf numFmtId="166" fontId="6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164" fontId="6" fillId="0" borderId="0" xfId="42" applyNumberFormat="1" applyFont="1" applyFill="1" applyAlignment="1" applyProtection="1">
      <alignment horizontal="left"/>
      <protection/>
    </xf>
    <xf numFmtId="37" fontId="6" fillId="0" borderId="0" xfId="60" applyNumberFormat="1" applyFont="1" applyFill="1">
      <alignment/>
      <protection/>
    </xf>
    <xf numFmtId="164" fontId="6" fillId="0" borderId="0" xfId="42" applyNumberFormat="1" applyFont="1" applyFill="1" applyAlignment="1">
      <alignment/>
    </xf>
    <xf numFmtId="37" fontId="6" fillId="0" borderId="0" xfId="42" applyNumberFormat="1" applyFont="1" applyFill="1" applyAlignment="1">
      <alignment/>
    </xf>
    <xf numFmtId="37" fontId="21" fillId="0" borderId="0" xfId="60" applyNumberFormat="1" applyFont="1" applyFill="1">
      <alignment/>
      <protection/>
    </xf>
    <xf numFmtId="169" fontId="20" fillId="0" borderId="10" xfId="66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" fontId="6" fillId="0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62" applyNumberFormat="1" applyFont="1" applyFill="1" quotePrefix="1">
      <alignment/>
      <protection/>
    </xf>
    <xf numFmtId="49" fontId="6" fillId="0" borderId="0" xfId="62" applyNumberFormat="1" applyFont="1" applyFill="1">
      <alignment/>
      <protection/>
    </xf>
    <xf numFmtId="169" fontId="6" fillId="0" borderId="0" xfId="42" applyNumberFormat="1" applyFont="1" applyAlignment="1">
      <alignment/>
    </xf>
    <xf numFmtId="169" fontId="6" fillId="0" borderId="0" xfId="42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18" xfId="0" applyFont="1" applyFill="1" applyBorder="1" applyAlignment="1">
      <alignment horizontal="left" indent="1"/>
    </xf>
    <xf numFmtId="166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/>
    </xf>
    <xf numFmtId="169" fontId="6" fillId="0" borderId="0" xfId="66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63" applyNumberFormat="1" applyFont="1" applyBorder="1">
      <alignment/>
      <protection/>
    </xf>
    <xf numFmtId="37" fontId="32" fillId="0" borderId="0" xfId="42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41" fontId="6" fillId="0" borderId="0" xfId="66" applyNumberFormat="1" applyFont="1" applyBorder="1" applyAlignment="1">
      <alignment/>
    </xf>
    <xf numFmtId="164" fontId="9" fillId="0" borderId="11" xfId="42" applyNumberFormat="1" applyFont="1" applyBorder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73" fontId="9" fillId="0" borderId="11" xfId="42" applyNumberFormat="1" applyFont="1" applyBorder="1" applyAlignment="1">
      <alignment horizontal="right"/>
    </xf>
    <xf numFmtId="173" fontId="9" fillId="0" borderId="11" xfId="42" applyNumberFormat="1" applyFont="1" applyBorder="1" applyAlignment="1">
      <alignment/>
    </xf>
    <xf numFmtId="169" fontId="9" fillId="0" borderId="11" xfId="66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6" fontId="6" fillId="0" borderId="0" xfId="63" applyNumberFormat="1" applyFont="1" applyBorder="1">
      <alignment/>
      <protection/>
    </xf>
    <xf numFmtId="164" fontId="9" fillId="0" borderId="14" xfId="42" applyNumberFormat="1" applyFont="1" applyBorder="1" applyAlignment="1" applyProtection="1">
      <alignment horizontal="left"/>
      <protection/>
    </xf>
    <xf numFmtId="164" fontId="9" fillId="0" borderId="14" xfId="42" applyNumberFormat="1" applyFont="1" applyBorder="1" applyAlignment="1">
      <alignment horizontal="left"/>
    </xf>
    <xf numFmtId="173" fontId="9" fillId="0" borderId="14" xfId="42" applyNumberFormat="1" applyFont="1" applyBorder="1" applyAlignment="1">
      <alignment/>
    </xf>
    <xf numFmtId="169" fontId="9" fillId="0" borderId="14" xfId="66" applyNumberFormat="1" applyFont="1" applyBorder="1" applyAlignment="1">
      <alignment/>
    </xf>
    <xf numFmtId="37" fontId="9" fillId="0" borderId="12" xfId="42" applyNumberFormat="1" applyFont="1" applyBorder="1" applyAlignment="1" applyProtection="1">
      <alignment horizontal="left"/>
      <protection/>
    </xf>
    <xf numFmtId="164" fontId="9" fillId="0" borderId="12" xfId="42" applyNumberFormat="1" applyFont="1" applyBorder="1" applyAlignment="1" applyProtection="1">
      <alignment horizontal="left"/>
      <protection/>
    </xf>
    <xf numFmtId="173" fontId="9" fillId="0" borderId="12" xfId="42" applyNumberFormat="1" applyFont="1" applyBorder="1" applyAlignment="1">
      <alignment/>
    </xf>
    <xf numFmtId="169" fontId="9" fillId="0" borderId="12" xfId="42" applyNumberFormat="1" applyFont="1" applyBorder="1" applyAlignment="1">
      <alignment/>
    </xf>
    <xf numFmtId="173" fontId="9" fillId="0" borderId="12" xfId="63" applyNumberFormat="1" applyFont="1" applyBorder="1">
      <alignment/>
      <protection/>
    </xf>
    <xf numFmtId="164" fontId="6" fillId="0" borderId="0" xfId="42" applyNumberFormat="1" applyFont="1" applyFill="1" applyBorder="1" applyAlignment="1">
      <alignment/>
    </xf>
    <xf numFmtId="37" fontId="33" fillId="0" borderId="10" xfId="42" applyNumberFormat="1" applyFont="1" applyBorder="1" applyAlignment="1" applyProtection="1">
      <alignment/>
      <protection/>
    </xf>
    <xf numFmtId="164" fontId="6" fillId="0" borderId="10" xfId="42" applyNumberFormat="1" applyFont="1" applyBorder="1" applyAlignment="1" applyProtection="1">
      <alignment horizontal="left"/>
      <protection/>
    </xf>
    <xf numFmtId="166" fontId="6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4" fontId="6" fillId="0" borderId="1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Border="1" applyAlignment="1">
      <alignment/>
    </xf>
    <xf numFmtId="164" fontId="9" fillId="0" borderId="0" xfId="63" applyNumberFormat="1" applyFont="1" applyBorder="1">
      <alignment/>
      <protection/>
    </xf>
    <xf numFmtId="37" fontId="9" fillId="0" borderId="10" xfId="42" applyNumberFormat="1" applyFont="1" applyBorder="1" applyAlignment="1" applyProtection="1">
      <alignment horizontal="left"/>
      <protection/>
    </xf>
    <xf numFmtId="164" fontId="9" fillId="0" borderId="10" xfId="42" applyNumberFormat="1" applyFont="1" applyBorder="1" applyAlignment="1" applyProtection="1">
      <alignment horizontal="left"/>
      <protection/>
    </xf>
    <xf numFmtId="37" fontId="9" fillId="0" borderId="25" xfId="42" applyNumberFormat="1" applyFont="1" applyBorder="1" applyAlignment="1" applyProtection="1">
      <alignment horizontal="left"/>
      <protection/>
    </xf>
    <xf numFmtId="164" fontId="9" fillId="0" borderId="25" xfId="42" applyNumberFormat="1" applyFont="1" applyBorder="1" applyAlignment="1" applyProtection="1">
      <alignment horizontal="left"/>
      <protection/>
    </xf>
    <xf numFmtId="173" fontId="9" fillId="0" borderId="25" xfId="63" applyNumberFormat="1" applyFont="1" applyBorder="1">
      <alignment/>
      <protection/>
    </xf>
    <xf numFmtId="166" fontId="10" fillId="0" borderId="0" xfId="42" applyNumberFormat="1" applyFont="1" applyBorder="1" applyAlignment="1">
      <alignment/>
    </xf>
    <xf numFmtId="167" fontId="10" fillId="0" borderId="0" xfId="42" applyNumberFormat="1" applyFont="1" applyBorder="1" applyAlignment="1">
      <alignment/>
    </xf>
    <xf numFmtId="166" fontId="6" fillId="0" borderId="0" xfId="42" applyNumberFormat="1" applyFont="1" applyAlignment="1" quotePrefix="1">
      <alignment/>
    </xf>
    <xf numFmtId="0" fontId="6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centerContinuous"/>
      <protection/>
    </xf>
    <xf numFmtId="173" fontId="6" fillId="0" borderId="0" xfId="45" applyNumberFormat="1" applyFont="1" applyBorder="1" applyAlignment="1" applyProtection="1">
      <alignment horizontal="right"/>
      <protection/>
    </xf>
    <xf numFmtId="169" fontId="20" fillId="0" borderId="0" xfId="66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169" fontId="0" fillId="0" borderId="13" xfId="0" applyNumberFormat="1" applyFont="1" applyBorder="1" applyAlignment="1">
      <alignment/>
    </xf>
    <xf numFmtId="0" fontId="23" fillId="0" borderId="0" xfId="0" applyFont="1" applyFill="1" applyAlignment="1">
      <alignment/>
    </xf>
    <xf numFmtId="164" fontId="6" fillId="0" borderId="0" xfId="58" applyNumberFormat="1" applyFont="1" applyFill="1" applyAlignment="1">
      <alignment/>
      <protection/>
    </xf>
    <xf numFmtId="164" fontId="6" fillId="0" borderId="0" xfId="42" applyNumberFormat="1" applyFont="1" applyFill="1" applyAlignment="1">
      <alignment horizontal="right"/>
    </xf>
    <xf numFmtId="174" fontId="6" fillId="0" borderId="0" xfId="42" applyNumberFormat="1" applyFont="1" applyAlignment="1">
      <alignment/>
    </xf>
    <xf numFmtId="173" fontId="6" fillId="0" borderId="0" xfId="42" applyNumberFormat="1" applyFont="1" applyAlignment="1">
      <alignment/>
    </xf>
    <xf numFmtId="173" fontId="6" fillId="0" borderId="0" xfId="42" applyNumberFormat="1" applyFont="1" applyFill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64" fontId="8" fillId="0" borderId="1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24" fillId="0" borderId="0" xfId="60" applyNumberFormat="1" applyFont="1">
      <alignment/>
      <protection/>
    </xf>
    <xf numFmtId="5" fontId="24" fillId="0" borderId="0" xfId="42" applyNumberFormat="1" applyFont="1" applyAlignment="1">
      <alignment/>
    </xf>
    <xf numFmtId="164" fontId="7" fillId="0" borderId="26" xfId="60" applyNumberFormat="1" applyFont="1" applyBorder="1">
      <alignment/>
      <protection/>
    </xf>
    <xf numFmtId="37" fontId="8" fillId="0" borderId="26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37" fontId="8" fillId="0" borderId="13" xfId="42" applyNumberFormat="1" applyFont="1" applyBorder="1" applyAlignment="1">
      <alignment horizontal="center"/>
    </xf>
    <xf numFmtId="164" fontId="8" fillId="0" borderId="13" xfId="42" applyNumberFormat="1" applyFont="1" applyBorder="1" applyAlignment="1">
      <alignment/>
    </xf>
    <xf numFmtId="37" fontId="8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37" fontId="8" fillId="0" borderId="0" xfId="42" applyNumberFormat="1" applyFont="1" applyBorder="1" applyAlignment="1">
      <alignment horizontal="center" vertical="top"/>
    </xf>
    <xf numFmtId="164" fontId="8" fillId="0" borderId="0" xfId="42" applyNumberFormat="1" applyFont="1" applyBorder="1" applyAlignment="1">
      <alignment horizontal="right" vertical="top"/>
    </xf>
    <xf numFmtId="5" fontId="8" fillId="0" borderId="0" xfId="42" applyNumberFormat="1" applyFont="1" applyAlignment="1">
      <alignment/>
    </xf>
    <xf numFmtId="37" fontId="24" fillId="0" borderId="0" xfId="42" applyNumberFormat="1" applyFont="1" applyAlignment="1">
      <alignment horizontal="right"/>
    </xf>
    <xf numFmtId="164" fontId="6" fillId="0" borderId="0" xfId="60" applyNumberFormat="1" applyFont="1" applyAlignment="1" applyProtection="1">
      <alignment horizontal="center"/>
      <protection/>
    </xf>
    <xf numFmtId="164" fontId="8" fillId="0" borderId="0" xfId="60" applyNumberFormat="1" applyFont="1" applyAlignment="1" applyProtection="1" quotePrefix="1">
      <alignment horizontal="left"/>
      <protection/>
    </xf>
    <xf numFmtId="177" fontId="8" fillId="0" borderId="0" xfId="60" applyNumberFormat="1" applyFont="1" applyAlignment="1">
      <alignment horizontal="right"/>
      <protection/>
    </xf>
    <xf numFmtId="164" fontId="24" fillId="0" borderId="12" xfId="60" applyNumberFormat="1" applyFont="1" applyBorder="1">
      <alignment/>
      <protection/>
    </xf>
    <xf numFmtId="5" fontId="24" fillId="0" borderId="12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0" fontId="25" fillId="0" borderId="0" xfId="61" applyFont="1" applyFill="1" applyAlignment="1" quotePrefix="1">
      <alignment horizontal="left"/>
      <protection/>
    </xf>
    <xf numFmtId="0" fontId="9" fillId="0" borderId="0" xfId="61" applyFont="1" applyAlignment="1">
      <alignment horizontal="left"/>
      <protection/>
    </xf>
    <xf numFmtId="167" fontId="9" fillId="0" borderId="0" xfId="42" applyNumberFormat="1" applyFont="1" applyAlignment="1">
      <alignment horizontal="left"/>
    </xf>
    <xf numFmtId="164" fontId="9" fillId="0" borderId="0" xfId="45" applyNumberFormat="1" applyFont="1" applyBorder="1" applyAlignment="1">
      <alignment horizontal="right" readingOrder="1"/>
    </xf>
    <xf numFmtId="0" fontId="40" fillId="0" borderId="18" xfId="0" applyFont="1" applyFill="1" applyBorder="1" applyAlignment="1">
      <alignment horizontal="left" indent="1"/>
    </xf>
    <xf numFmtId="176" fontId="6" fillId="0" borderId="0" xfId="63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8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0" fillId="0" borderId="0" xfId="58" applyNumberFormat="1" applyFont="1" applyAlignment="1">
      <alignment horizontal="center"/>
      <protection/>
    </xf>
    <xf numFmtId="167" fontId="6" fillId="0" borderId="0" xfId="42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0" fillId="0" borderId="0" xfId="0" applyAlignment="1">
      <alignment horizontal="centerContinuous"/>
    </xf>
    <xf numFmtId="0" fontId="47" fillId="0" borderId="0" xfId="0" applyFont="1" applyAlignment="1">
      <alignment wrapText="1"/>
    </xf>
    <xf numFmtId="188" fontId="48" fillId="0" borderId="0" xfId="45" applyNumberFormat="1" applyFont="1" applyAlignment="1">
      <alignment/>
    </xf>
    <xf numFmtId="188" fontId="49" fillId="0" borderId="0" xfId="45" applyNumberFormat="1" applyFont="1" applyAlignment="1">
      <alignment/>
    </xf>
    <xf numFmtId="0" fontId="8" fillId="0" borderId="0" xfId="59" applyFont="1" applyBorder="1">
      <alignment/>
      <protection/>
    </xf>
    <xf numFmtId="37" fontId="53" fillId="0" borderId="0" xfId="42" applyNumberFormat="1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37" fontId="8" fillId="0" borderId="0" xfId="42" applyNumberFormat="1" applyFont="1" applyAlignment="1">
      <alignment horizontal="left"/>
    </xf>
    <xf numFmtId="5" fontId="24" fillId="0" borderId="14" xfId="42" applyNumberFormat="1" applyFont="1" applyBorder="1" applyAlignment="1">
      <alignment/>
    </xf>
    <xf numFmtId="2" fontId="92" fillId="0" borderId="0" xfId="0" applyNumberFormat="1" applyFont="1" applyAlignment="1">
      <alignment/>
    </xf>
    <xf numFmtId="2" fontId="92" fillId="33" borderId="30" xfId="0" applyNumberFormat="1" applyFont="1" applyFill="1" applyBorder="1" applyAlignment="1">
      <alignment/>
    </xf>
    <xf numFmtId="2" fontId="92" fillId="33" borderId="31" xfId="0" applyNumberFormat="1" applyFont="1" applyFill="1" applyBorder="1" applyAlignment="1">
      <alignment/>
    </xf>
    <xf numFmtId="2" fontId="92" fillId="33" borderId="32" xfId="0" applyNumberFormat="1" applyFont="1" applyFill="1" applyBorder="1" applyAlignment="1">
      <alignment/>
    </xf>
    <xf numFmtId="2" fontId="92" fillId="33" borderId="33" xfId="0" applyNumberFormat="1" applyFont="1" applyFill="1" applyBorder="1" applyAlignment="1">
      <alignment/>
    </xf>
    <xf numFmtId="2" fontId="92" fillId="33" borderId="34" xfId="0" applyNumberFormat="1" applyFont="1" applyFill="1" applyBorder="1" applyAlignment="1">
      <alignment/>
    </xf>
    <xf numFmtId="2" fontId="92" fillId="33" borderId="35" xfId="0" applyNumberFormat="1" applyFont="1" applyFill="1" applyBorder="1" applyAlignment="1">
      <alignment/>
    </xf>
    <xf numFmtId="197" fontId="93" fillId="33" borderId="30" xfId="0" applyNumberFormat="1" applyFont="1" applyFill="1" applyBorder="1" applyAlignment="1">
      <alignment/>
    </xf>
    <xf numFmtId="197" fontId="93" fillId="33" borderId="36" xfId="0" applyNumberFormat="1" applyFont="1" applyFill="1" applyBorder="1" applyAlignment="1">
      <alignment horizontal="center"/>
    </xf>
    <xf numFmtId="197" fontId="93" fillId="33" borderId="36" xfId="0" applyNumberFormat="1" applyFont="1" applyFill="1" applyBorder="1" applyAlignment="1">
      <alignment horizontal="right"/>
    </xf>
    <xf numFmtId="197" fontId="92" fillId="33" borderId="3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 horizontal="right"/>
    </xf>
    <xf numFmtId="197" fontId="92" fillId="0" borderId="0" xfId="0" applyNumberFormat="1" applyFont="1" applyAlignment="1">
      <alignment/>
    </xf>
    <xf numFmtId="197" fontId="93" fillId="33" borderId="36" xfId="0" applyNumberFormat="1" applyFont="1" applyFill="1" applyBorder="1" applyAlignment="1">
      <alignment/>
    </xf>
    <xf numFmtId="49" fontId="93" fillId="33" borderId="30" xfId="0" applyNumberFormat="1" applyFont="1" applyFill="1" applyBorder="1" applyAlignment="1">
      <alignment/>
    </xf>
    <xf numFmtId="49" fontId="93" fillId="33" borderId="36" xfId="0" applyNumberFormat="1" applyFont="1" applyFill="1" applyBorder="1" applyAlignment="1">
      <alignment horizontal="right"/>
    </xf>
    <xf numFmtId="49" fontId="92" fillId="33" borderId="30" xfId="0" applyNumberFormat="1" applyFont="1" applyFill="1" applyBorder="1" applyAlignment="1">
      <alignment horizontal="center"/>
    </xf>
    <xf numFmtId="49" fontId="92" fillId="33" borderId="36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center"/>
    </xf>
    <xf numFmtId="2" fontId="92" fillId="33" borderId="36" xfId="0" applyNumberFormat="1" applyFont="1" applyFill="1" applyBorder="1" applyAlignment="1">
      <alignment horizontal="center"/>
    </xf>
    <xf numFmtId="2" fontId="92" fillId="33" borderId="34" xfId="0" applyNumberFormat="1" applyFont="1" applyFill="1" applyBorder="1" applyAlignment="1">
      <alignment horizontal="right"/>
    </xf>
    <xf numFmtId="2" fontId="92" fillId="33" borderId="35" xfId="0" applyNumberFormat="1" applyFont="1" applyFill="1" applyBorder="1" applyAlignment="1">
      <alignment horizontal="right"/>
    </xf>
    <xf numFmtId="2" fontId="92" fillId="33" borderId="0" xfId="0" applyNumberFormat="1" applyFont="1" applyFill="1" applyBorder="1" applyAlignment="1">
      <alignment/>
    </xf>
    <xf numFmtId="2" fontId="92" fillId="33" borderId="37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 quotePrefix="1">
      <alignment horizontal="right"/>
    </xf>
    <xf numFmtId="0" fontId="94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 horizontal="left"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95" fillId="0" borderId="0" xfId="0" applyFont="1" applyAlignment="1">
      <alignment horizontal="right"/>
    </xf>
    <xf numFmtId="5" fontId="8" fillId="0" borderId="0" xfId="42" applyNumberFormat="1" applyFont="1" applyFill="1" applyAlignment="1">
      <alignment/>
    </xf>
    <xf numFmtId="0" fontId="6" fillId="0" borderId="0" xfId="62" applyFont="1" applyFill="1">
      <alignment/>
      <protection/>
    </xf>
    <xf numFmtId="0" fontId="129" fillId="0" borderId="0" xfId="0" applyFont="1" applyFill="1" applyBorder="1" applyAlignment="1">
      <alignment horizontal="left"/>
    </xf>
    <xf numFmtId="173" fontId="6" fillId="0" borderId="0" xfId="45" applyNumberFormat="1" applyFont="1" applyAlignment="1">
      <alignment horizontal="right" readingOrder="1"/>
    </xf>
    <xf numFmtId="37" fontId="8" fillId="0" borderId="0" xfId="42" applyNumberFormat="1" applyFont="1" applyFill="1" applyAlignment="1">
      <alignment/>
    </xf>
    <xf numFmtId="37" fontId="6" fillId="0" borderId="0" xfId="42" applyNumberFormat="1" applyFont="1" applyFill="1" applyAlignment="1" applyProtection="1">
      <alignment horizontal="center"/>
      <protection/>
    </xf>
    <xf numFmtId="176" fontId="6" fillId="0" borderId="0" xfId="42" applyNumberFormat="1" applyFont="1" applyFill="1" applyAlignment="1" applyProtection="1">
      <alignment horizontal="center"/>
      <protection/>
    </xf>
    <xf numFmtId="0" fontId="92" fillId="0" borderId="0" xfId="0" applyFont="1" applyBorder="1" applyAlignment="1">
      <alignment/>
    </xf>
    <xf numFmtId="2" fontId="92" fillId="33" borderId="31" xfId="0" applyNumberFormat="1" applyFont="1" applyFill="1" applyBorder="1" applyAlignment="1">
      <alignment horizontal="right"/>
    </xf>
    <xf numFmtId="2" fontId="92" fillId="33" borderId="33" xfId="0" applyNumberFormat="1" applyFont="1" applyFill="1" applyBorder="1" applyAlignment="1">
      <alignment horizontal="right"/>
    </xf>
    <xf numFmtId="164" fontId="6" fillId="0" borderId="0" xfId="58" applyNumberFormat="1" applyFont="1" applyFill="1" applyAlignment="1" applyProtection="1" quotePrefix="1">
      <alignment horizontal="right"/>
      <protection/>
    </xf>
    <xf numFmtId="0" fontId="92" fillId="0" borderId="0" xfId="0" applyFont="1" applyAlignment="1">
      <alignment/>
    </xf>
    <xf numFmtId="173" fontId="9" fillId="0" borderId="25" xfId="42" applyNumberFormat="1" applyFont="1" applyBorder="1" applyAlignment="1">
      <alignment/>
    </xf>
    <xf numFmtId="164" fontId="6" fillId="0" borderId="0" xfId="42" applyNumberFormat="1" applyFont="1" applyFill="1" applyBorder="1" applyAlignment="1" applyProtection="1">
      <alignment horizontal="left"/>
      <protection/>
    </xf>
    <xf numFmtId="0" fontId="8" fillId="0" borderId="0" xfId="62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0" fontId="8" fillId="0" borderId="0" xfId="59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97" fillId="34" borderId="34" xfId="0" applyFont="1" applyFill="1" applyBorder="1" applyAlignment="1">
      <alignment/>
    </xf>
    <xf numFmtId="0" fontId="97" fillId="34" borderId="38" xfId="0" applyFont="1" applyFill="1" applyBorder="1" applyAlignment="1">
      <alignment/>
    </xf>
    <xf numFmtId="2" fontId="55" fillId="34" borderId="38" xfId="0" applyNumberFormat="1" applyFont="1" applyFill="1" applyBorder="1" applyAlignment="1">
      <alignment/>
    </xf>
    <xf numFmtId="2" fontId="93" fillId="34" borderId="38" xfId="0" applyNumberFormat="1" applyFont="1" applyFill="1" applyBorder="1" applyAlignment="1">
      <alignment/>
    </xf>
    <xf numFmtId="2" fontId="0" fillId="34" borderId="38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2" fontId="0" fillId="0" borderId="0" xfId="0" applyNumberFormat="1" applyAlignment="1">
      <alignment/>
    </xf>
    <xf numFmtId="0" fontId="97" fillId="34" borderId="39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0" fontId="92" fillId="33" borderId="30" xfId="0" applyFont="1" applyFill="1" applyBorder="1" applyAlignment="1">
      <alignment/>
    </xf>
    <xf numFmtId="0" fontId="92" fillId="33" borderId="36" xfId="0" applyFont="1" applyFill="1" applyBorder="1" applyAlignment="1">
      <alignment/>
    </xf>
    <xf numFmtId="0" fontId="93" fillId="33" borderId="30" xfId="0" applyFont="1" applyFill="1" applyBorder="1" applyAlignment="1">
      <alignment/>
    </xf>
    <xf numFmtId="0" fontId="93" fillId="33" borderId="30" xfId="0" applyFont="1" applyFill="1" applyBorder="1" applyAlignment="1">
      <alignment horizontal="center"/>
    </xf>
    <xf numFmtId="0" fontId="93" fillId="33" borderId="36" xfId="0" applyFont="1" applyFill="1" applyBorder="1" applyAlignment="1">
      <alignment horizontal="center"/>
    </xf>
    <xf numFmtId="0" fontId="92" fillId="33" borderId="31" xfId="0" applyFont="1" applyFill="1" applyBorder="1" applyAlignment="1">
      <alignment/>
    </xf>
    <xf numFmtId="0" fontId="92" fillId="33" borderId="41" xfId="0" applyFont="1" applyFill="1" applyBorder="1" applyAlignment="1">
      <alignment/>
    </xf>
    <xf numFmtId="0" fontId="92" fillId="33" borderId="42" xfId="0" applyFont="1" applyFill="1" applyBorder="1" applyAlignment="1">
      <alignment/>
    </xf>
    <xf numFmtId="0" fontId="93" fillId="33" borderId="36" xfId="0" applyFont="1" applyFill="1" applyBorder="1" applyAlignment="1">
      <alignment/>
    </xf>
    <xf numFmtId="0" fontId="93" fillId="33" borderId="36" xfId="0" applyFont="1" applyFill="1" applyBorder="1" applyAlignment="1">
      <alignment horizontal="right"/>
    </xf>
    <xf numFmtId="0" fontId="92" fillId="33" borderId="30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/>
    </xf>
    <xf numFmtId="2" fontId="93" fillId="33" borderId="33" xfId="0" applyNumberFormat="1" applyFont="1" applyFill="1" applyBorder="1" applyAlignment="1">
      <alignment/>
    </xf>
    <xf numFmtId="2" fontId="93" fillId="33" borderId="30" xfId="0" applyNumberFormat="1" applyFont="1" applyFill="1" applyBorder="1" applyAlignment="1">
      <alignment/>
    </xf>
    <xf numFmtId="2" fontId="93" fillId="33" borderId="37" xfId="0" applyNumberFormat="1" applyFont="1" applyFill="1" applyBorder="1" applyAlignment="1">
      <alignment/>
    </xf>
    <xf numFmtId="197" fontId="92" fillId="0" borderId="30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center"/>
    </xf>
    <xf numFmtId="0" fontId="98" fillId="33" borderId="30" xfId="0" applyFont="1" applyFill="1" applyBorder="1" applyAlignment="1">
      <alignment/>
    </xf>
    <xf numFmtId="198" fontId="92" fillId="0" borderId="36" xfId="0" applyNumberFormat="1" applyFont="1" applyBorder="1" applyAlignment="1">
      <alignment horizontal="center"/>
    </xf>
    <xf numFmtId="0" fontId="93" fillId="33" borderId="41" xfId="0" applyFont="1" applyFill="1" applyBorder="1" applyAlignment="1">
      <alignment horizontal="center"/>
    </xf>
    <xf numFmtId="2" fontId="92" fillId="33" borderId="31" xfId="0" applyNumberFormat="1" applyFont="1" applyFill="1" applyBorder="1" applyAlignment="1">
      <alignment horizontal="center"/>
    </xf>
    <xf numFmtId="0" fontId="92" fillId="33" borderId="34" xfId="0" applyFont="1" applyFill="1" applyBorder="1" applyAlignment="1">
      <alignment/>
    </xf>
    <xf numFmtId="2" fontId="92" fillId="33" borderId="38" xfId="0" applyNumberFormat="1" applyFont="1" applyFill="1" applyBorder="1" applyAlignment="1">
      <alignment/>
    </xf>
    <xf numFmtId="197" fontId="92" fillId="0" borderId="0" xfId="0" applyNumberFormat="1" applyFont="1" applyBorder="1" applyAlignment="1">
      <alignment/>
    </xf>
    <xf numFmtId="2" fontId="92" fillId="33" borderId="41" xfId="0" applyNumberFormat="1" applyFont="1" applyFill="1" applyBorder="1" applyAlignment="1">
      <alignment horizontal="center"/>
    </xf>
    <xf numFmtId="0" fontId="92" fillId="33" borderId="41" xfId="0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 horizontal="right"/>
    </xf>
    <xf numFmtId="2" fontId="93" fillId="33" borderId="33" xfId="0" applyNumberFormat="1" applyFont="1" applyFill="1" applyBorder="1" applyAlignment="1">
      <alignment horizontal="right"/>
    </xf>
    <xf numFmtId="0" fontId="92" fillId="0" borderId="34" xfId="0" applyFont="1" applyFill="1" applyBorder="1" applyAlignment="1">
      <alignment/>
    </xf>
    <xf numFmtId="0" fontId="92" fillId="0" borderId="42" xfId="0" applyFont="1" applyFill="1" applyBorder="1" applyAlignment="1">
      <alignment/>
    </xf>
    <xf numFmtId="2" fontId="92" fillId="0" borderId="34" xfId="0" applyNumberFormat="1" applyFont="1" applyFill="1" applyBorder="1" applyAlignment="1">
      <alignment/>
    </xf>
    <xf numFmtId="2" fontId="92" fillId="0" borderId="38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 horizontal="right"/>
    </xf>
    <xf numFmtId="2" fontId="99" fillId="0" borderId="34" xfId="0" applyNumberFormat="1" applyFont="1" applyFill="1" applyBorder="1" applyAlignment="1">
      <alignment/>
    </xf>
    <xf numFmtId="197" fontId="93" fillId="0" borderId="30" xfId="0" applyNumberFormat="1" applyFont="1" applyFill="1" applyBorder="1" applyAlignment="1">
      <alignment/>
    </xf>
    <xf numFmtId="197" fontId="93" fillId="0" borderId="36" xfId="0" applyNumberFormat="1" applyFont="1" applyFill="1" applyBorder="1" applyAlignment="1">
      <alignment horizontal="center"/>
    </xf>
    <xf numFmtId="197" fontId="92" fillId="0" borderId="0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 horizontal="right"/>
    </xf>
    <xf numFmtId="197" fontId="93" fillId="0" borderId="36" xfId="0" applyNumberFormat="1" applyFont="1" applyFill="1" applyBorder="1" applyAlignment="1">
      <alignment/>
    </xf>
    <xf numFmtId="0" fontId="92" fillId="0" borderId="30" xfId="0" applyFont="1" applyFill="1" applyBorder="1" applyAlignment="1">
      <alignment/>
    </xf>
    <xf numFmtId="0" fontId="92" fillId="0" borderId="37" xfId="0" applyFont="1" applyFill="1" applyBorder="1" applyAlignment="1">
      <alignment horizontal="right"/>
    </xf>
    <xf numFmtId="0" fontId="93" fillId="0" borderId="30" xfId="0" applyFont="1" applyFill="1" applyBorder="1" applyAlignment="1">
      <alignment/>
    </xf>
    <xf numFmtId="0" fontId="93" fillId="0" borderId="36" xfId="0" applyFont="1" applyFill="1" applyBorder="1" applyAlignment="1">
      <alignment/>
    </xf>
    <xf numFmtId="0" fontId="93" fillId="0" borderId="36" xfId="0" applyFont="1" applyFill="1" applyBorder="1" applyAlignment="1">
      <alignment horizontal="right"/>
    </xf>
    <xf numFmtId="0" fontId="92" fillId="0" borderId="30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right"/>
    </xf>
    <xf numFmtId="2" fontId="92" fillId="0" borderId="30" xfId="0" applyNumberFormat="1" applyFont="1" applyFill="1" applyBorder="1" applyAlignment="1">
      <alignment horizontal="center"/>
    </xf>
    <xf numFmtId="2" fontId="92" fillId="0" borderId="36" xfId="0" applyNumberFormat="1" applyFont="1" applyFill="1" applyBorder="1" applyAlignment="1">
      <alignment horizontal="center"/>
    </xf>
    <xf numFmtId="0" fontId="92" fillId="0" borderId="31" xfId="0" applyFont="1" applyFill="1" applyBorder="1" applyAlignment="1">
      <alignment/>
    </xf>
    <xf numFmtId="0" fontId="92" fillId="0" borderId="41" xfId="0" applyFont="1" applyFill="1" applyBorder="1" applyAlignment="1">
      <alignment/>
    </xf>
    <xf numFmtId="0" fontId="92" fillId="0" borderId="33" xfId="0" applyFont="1" applyFill="1" applyBorder="1" applyAlignment="1">
      <alignment/>
    </xf>
    <xf numFmtId="197" fontId="100" fillId="0" borderId="31" xfId="0" applyNumberFormat="1" applyFont="1" applyFill="1" applyBorder="1" applyAlignment="1" quotePrefix="1">
      <alignment/>
    </xf>
    <xf numFmtId="0" fontId="92" fillId="0" borderId="36" xfId="0" applyFont="1" applyFill="1" applyBorder="1" applyAlignment="1">
      <alignment/>
    </xf>
    <xf numFmtId="49" fontId="92" fillId="0" borderId="3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37" xfId="0" applyFont="1" applyFill="1" applyBorder="1" applyAlignment="1">
      <alignment/>
    </xf>
    <xf numFmtId="197" fontId="93" fillId="0" borderId="36" xfId="0" applyNumberFormat="1" applyFont="1" applyFill="1" applyBorder="1" applyAlignment="1">
      <alignment horizontal="right"/>
    </xf>
    <xf numFmtId="197" fontId="92" fillId="0" borderId="37" xfId="0" applyNumberFormat="1" applyFont="1" applyFill="1" applyBorder="1" applyAlignment="1" quotePrefix="1">
      <alignment horizontal="right"/>
    </xf>
    <xf numFmtId="197" fontId="99" fillId="0" borderId="30" xfId="0" applyNumberFormat="1" applyFont="1" applyFill="1" applyBorder="1" applyAlignment="1">
      <alignment/>
    </xf>
    <xf numFmtId="197" fontId="99" fillId="0" borderId="37" xfId="0" applyNumberFormat="1" applyFont="1" applyFill="1" applyBorder="1" applyAlignment="1">
      <alignment horizontal="right"/>
    </xf>
    <xf numFmtId="49" fontId="92" fillId="0" borderId="37" xfId="0" applyNumberFormat="1" applyFont="1" applyFill="1" applyBorder="1" applyAlignment="1">
      <alignment/>
    </xf>
    <xf numFmtId="49" fontId="92" fillId="0" borderId="0" xfId="0" applyNumberFormat="1" applyFont="1" applyFill="1" applyBorder="1" applyAlignment="1">
      <alignment/>
    </xf>
    <xf numFmtId="0" fontId="92" fillId="0" borderId="32" xfId="0" applyFont="1" applyFill="1" applyBorder="1" applyAlignment="1">
      <alignment/>
    </xf>
    <xf numFmtId="0" fontId="93" fillId="33" borderId="43" xfId="0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56" fillId="0" borderId="44" xfId="0" applyFont="1" applyBorder="1" applyAlignment="1">
      <alignment/>
    </xf>
    <xf numFmtId="2" fontId="56" fillId="0" borderId="44" xfId="0" applyNumberFormat="1" applyFont="1" applyBorder="1" applyAlignment="1">
      <alignment/>
    </xf>
    <xf numFmtId="2" fontId="56" fillId="0" borderId="45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30" fillId="0" borderId="0" xfId="0" applyNumberFormat="1" applyFont="1" applyAlignment="1">
      <alignment/>
    </xf>
    <xf numFmtId="0" fontId="131" fillId="0" borderId="0" xfId="0" applyFont="1" applyAlignment="1">
      <alignment/>
    </xf>
    <xf numFmtId="2" fontId="131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37" fontId="8" fillId="0" borderId="0" xfId="42" applyNumberFormat="1" applyFont="1" applyFill="1" applyAlignment="1">
      <alignment horizontal="left"/>
    </xf>
    <xf numFmtId="169" fontId="9" fillId="0" borderId="0" xfId="66" applyNumberFormat="1" applyFont="1" applyBorder="1" applyAlignment="1">
      <alignment/>
    </xf>
    <xf numFmtId="169" fontId="9" fillId="0" borderId="25" xfId="66" applyNumberFormat="1" applyFont="1" applyBorder="1" applyAlignment="1">
      <alignment/>
    </xf>
    <xf numFmtId="5" fontId="6" fillId="0" borderId="0" xfId="60" applyNumberFormat="1" applyFont="1" applyAlignment="1">
      <alignment horizontal="right"/>
      <protection/>
    </xf>
    <xf numFmtId="5" fontId="6" fillId="0" borderId="0" xfId="42" applyNumberFormat="1" applyFont="1" applyAlignment="1">
      <alignment/>
    </xf>
    <xf numFmtId="5" fontId="21" fillId="0" borderId="0" xfId="60" applyNumberFormat="1" applyFont="1">
      <alignment/>
      <protection/>
    </xf>
    <xf numFmtId="5" fontId="6" fillId="0" borderId="11" xfId="42" applyNumberFormat="1" applyFont="1" applyBorder="1" applyAlignment="1">
      <alignment/>
    </xf>
    <xf numFmtId="5" fontId="6" fillId="0" borderId="0" xfId="60" applyNumberFormat="1" applyFont="1" applyFill="1">
      <alignment/>
      <protection/>
    </xf>
    <xf numFmtId="173" fontId="6" fillId="0" borderId="0" xfId="58" applyNumberFormat="1" applyFont="1" applyFill="1" applyAlignment="1" applyProtection="1">
      <alignment horizontal="right"/>
      <protection/>
    </xf>
    <xf numFmtId="173" fontId="6" fillId="0" borderId="0" xfId="58" applyNumberFormat="1" applyFont="1" applyAlignment="1" applyProtection="1">
      <alignment horizontal="right"/>
      <protection/>
    </xf>
    <xf numFmtId="173" fontId="6" fillId="0" borderId="0" xfId="42" applyNumberFormat="1" applyFont="1" applyAlignment="1">
      <alignment horizontal="right"/>
    </xf>
    <xf numFmtId="173" fontId="6" fillId="0" borderId="0" xfId="42" applyNumberFormat="1" applyFont="1" applyFill="1" applyAlignment="1">
      <alignment horizontal="right"/>
    </xf>
    <xf numFmtId="173" fontId="6" fillId="0" borderId="0" xfId="58" applyNumberFormat="1" applyFont="1" applyAlignment="1">
      <alignment horizontal="right"/>
      <protection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45" applyNumberFormat="1" applyFont="1" applyFill="1" applyAlignment="1" applyProtection="1">
      <alignment horizontal="right"/>
      <protection/>
    </xf>
    <xf numFmtId="173" fontId="6" fillId="0" borderId="14" xfId="45" applyNumberFormat="1" applyFont="1" applyBorder="1" applyAlignment="1">
      <alignment horizontal="right" readingOrder="1"/>
    </xf>
    <xf numFmtId="167" fontId="6" fillId="0" borderId="13" xfId="42" applyNumberFormat="1" applyFont="1" applyBorder="1" applyAlignment="1">
      <alignment horizontal="center"/>
    </xf>
    <xf numFmtId="166" fontId="6" fillId="0" borderId="0" xfId="58" applyNumberFormat="1" applyFont="1" applyAlignment="1">
      <alignment horizontal="right"/>
      <protection/>
    </xf>
    <xf numFmtId="186" fontId="9" fillId="0" borderId="0" xfId="42" applyNumberFormat="1" applyFont="1" applyBorder="1" applyAlignment="1">
      <alignment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2" fillId="0" borderId="3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92" fillId="33" borderId="37" xfId="0" applyNumberFormat="1" applyFont="1" applyFill="1" applyBorder="1" applyAlignment="1" quotePrefix="1">
      <alignment horizontal="right"/>
    </xf>
    <xf numFmtId="0" fontId="92" fillId="33" borderId="30" xfId="0" applyFont="1" applyFill="1" applyBorder="1" applyAlignment="1" quotePrefix="1">
      <alignment horizontal="center"/>
    </xf>
    <xf numFmtId="0" fontId="92" fillId="33" borderId="32" xfId="0" applyFont="1" applyFill="1" applyBorder="1" applyAlignment="1">
      <alignment/>
    </xf>
    <xf numFmtId="0" fontId="93" fillId="33" borderId="46" xfId="0" applyFont="1" applyFill="1" applyBorder="1" applyAlignment="1">
      <alignment/>
    </xf>
    <xf numFmtId="49" fontId="92" fillId="33" borderId="36" xfId="0" applyNumberFormat="1" applyFont="1" applyFill="1" applyBorder="1" applyAlignment="1">
      <alignment/>
    </xf>
    <xf numFmtId="49" fontId="92" fillId="0" borderId="36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/>
    </xf>
    <xf numFmtId="0" fontId="6" fillId="0" borderId="0" xfId="42" applyNumberFormat="1" applyFont="1" applyAlignment="1" applyProtection="1">
      <alignment horizontal="center"/>
      <protection/>
    </xf>
    <xf numFmtId="0" fontId="6" fillId="0" borderId="0" xfId="42" applyNumberFormat="1" applyFont="1" applyFill="1" applyAlignment="1" applyProtection="1">
      <alignment horizontal="center"/>
      <protection/>
    </xf>
    <xf numFmtId="0" fontId="6" fillId="0" borderId="15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>
      <alignment horizontal="center"/>
    </xf>
    <xf numFmtId="176" fontId="8" fillId="0" borderId="0" xfId="42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Alignment="1" applyProtection="1" quotePrefix="1">
      <alignment horizontal="center"/>
      <protection/>
    </xf>
    <xf numFmtId="1" fontId="6" fillId="0" borderId="0" xfId="58" applyNumberFormat="1" applyFont="1" applyFill="1" applyAlignment="1" applyProtection="1" quotePrefix="1">
      <alignment horizontal="center"/>
      <protection/>
    </xf>
    <xf numFmtId="1" fontId="6" fillId="0" borderId="0" xfId="58" applyNumberFormat="1" applyFont="1" applyFill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64" fontId="42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applyProtection="1">
      <alignment horizontal="center"/>
      <protection/>
    </xf>
    <xf numFmtId="1" fontId="6" fillId="0" borderId="0" xfId="58" applyNumberFormat="1" applyFont="1" applyFill="1" applyAlignment="1" quotePrefix="1">
      <alignment horizontal="center"/>
      <protection/>
    </xf>
    <xf numFmtId="1" fontId="9" fillId="0" borderId="0" xfId="58" applyNumberFormat="1" applyFont="1" applyAlignment="1" applyProtection="1" quotePrefix="1">
      <alignment horizontal="left"/>
      <protection/>
    </xf>
    <xf numFmtId="164" fontId="9" fillId="0" borderId="14" xfId="58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4" fontId="6" fillId="0" borderId="14" xfId="58" applyNumberFormat="1" applyFont="1" applyFill="1" applyBorder="1" applyAlignment="1" applyProtection="1" quotePrefix="1">
      <alignment horizontal="left"/>
      <protection/>
    </xf>
    <xf numFmtId="164" fontId="6" fillId="0" borderId="14" xfId="58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 horizontal="left"/>
    </xf>
    <xf numFmtId="164" fontId="6" fillId="0" borderId="14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Fill="1" applyAlignment="1">
      <alignment horizontal="left"/>
      <protection/>
    </xf>
    <xf numFmtId="166" fontId="6" fillId="0" borderId="0" xfId="42" applyNumberFormat="1" applyFont="1" applyFill="1" applyAlignment="1">
      <alignment/>
    </xf>
    <xf numFmtId="164" fontId="6" fillId="0" borderId="0" xfId="58" applyNumberFormat="1" applyFont="1" applyAlignment="1" applyProtection="1">
      <alignment horizontal="left"/>
      <protection/>
    </xf>
    <xf numFmtId="49" fontId="9" fillId="0" borderId="12" xfId="62" applyNumberFormat="1" applyFont="1" applyBorder="1">
      <alignment/>
      <protection/>
    </xf>
    <xf numFmtId="173" fontId="9" fillId="0" borderId="12" xfId="45" applyNumberFormat="1" applyFont="1" applyBorder="1" applyAlignment="1">
      <alignment/>
    </xf>
    <xf numFmtId="173" fontId="9" fillId="0" borderId="12" xfId="42" applyNumberFormat="1" applyFont="1" applyBorder="1" applyAlignment="1">
      <alignment horizontal="right"/>
    </xf>
    <xf numFmtId="169" fontId="9" fillId="0" borderId="12" xfId="42" applyNumberFormat="1" applyFont="1" applyBorder="1" applyAlignment="1">
      <alignment horizontal="right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8" fillId="0" borderId="0" xfId="62" applyFont="1" applyBorder="1">
      <alignment/>
      <protection/>
    </xf>
    <xf numFmtId="1" fontId="6" fillId="0" borderId="0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6" fillId="0" borderId="0" xfId="58" applyNumberFormat="1" applyFont="1" applyFill="1" applyAlignment="1" applyProtection="1">
      <alignment horizontal="center"/>
      <protection/>
    </xf>
    <xf numFmtId="1" fontId="6" fillId="0" borderId="0" xfId="42" applyNumberFormat="1" applyFont="1" applyBorder="1" applyAlignment="1">
      <alignment horizontal="left"/>
    </xf>
    <xf numFmtId="37" fontId="6" fillId="0" borderId="0" xfId="42" applyNumberFormat="1" applyFont="1" applyBorder="1" applyAlignment="1">
      <alignment horizontal="left"/>
    </xf>
    <xf numFmtId="173" fontId="0" fillId="0" borderId="0" xfId="0" applyNumberFormat="1" applyFont="1" applyAlignment="1">
      <alignment/>
    </xf>
    <xf numFmtId="0" fontId="132" fillId="0" borderId="0" xfId="0" applyFont="1" applyAlignment="1">
      <alignment/>
    </xf>
    <xf numFmtId="49" fontId="34" fillId="0" borderId="47" xfId="0" applyNumberFormat="1" applyFont="1" applyFill="1" applyBorder="1" applyAlignment="1">
      <alignment horizontal="center"/>
    </xf>
    <xf numFmtId="49" fontId="34" fillId="0" borderId="26" xfId="0" applyNumberFormat="1" applyFont="1" applyFill="1" applyBorder="1" applyAlignment="1">
      <alignment horizontal="center"/>
    </xf>
    <xf numFmtId="49" fontId="34" fillId="0" borderId="48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49" fontId="34" fillId="0" borderId="19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34" fillId="0" borderId="20" xfId="0" applyNumberFormat="1" applyFont="1" applyFill="1" applyBorder="1" applyAlignment="1">
      <alignment horizontal="center"/>
    </xf>
    <xf numFmtId="37" fontId="2" fillId="0" borderId="0" xfId="42" applyNumberFormat="1" applyFont="1" applyAlignment="1">
      <alignment horizontal="center"/>
    </xf>
    <xf numFmtId="37" fontId="3" fillId="0" borderId="0" xfId="42" applyNumberFormat="1" applyFont="1" applyAlignment="1">
      <alignment horizontal="center"/>
    </xf>
    <xf numFmtId="37" fontId="5" fillId="0" borderId="0" xfId="42" applyNumberFormat="1" applyFont="1" applyFill="1" applyAlignment="1">
      <alignment horizontal="center"/>
    </xf>
    <xf numFmtId="37" fontId="37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 horizontal="center"/>
    </xf>
    <xf numFmtId="1" fontId="18" fillId="0" borderId="0" xfId="42" applyNumberFormat="1" applyFont="1" applyFill="1" applyAlignment="1">
      <alignment horizontal="center"/>
    </xf>
    <xf numFmtId="1" fontId="4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" fontId="2" fillId="0" borderId="0" xfId="42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6" fillId="0" borderId="0" xfId="42" applyNumberFormat="1" applyFont="1" applyBorder="1" applyAlignment="1">
      <alignment horizontal="center"/>
    </xf>
    <xf numFmtId="1" fontId="2" fillId="0" borderId="0" xfId="42" applyNumberFormat="1" applyFont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29" fillId="0" borderId="0" xfId="42" applyNumberFormat="1" applyFont="1" applyBorder="1" applyAlignment="1">
      <alignment horizontal="center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42" applyNumberFormat="1" applyFont="1" applyAlignment="1">
      <alignment horizontal="center"/>
    </xf>
    <xf numFmtId="2" fontId="93" fillId="33" borderId="49" xfId="0" applyNumberFormat="1" applyFont="1" applyFill="1" applyBorder="1" applyAlignment="1">
      <alignment horizontal="center"/>
    </xf>
    <xf numFmtId="2" fontId="93" fillId="33" borderId="50" xfId="0" applyNumberFormat="1" applyFont="1" applyFill="1" applyBorder="1" applyAlignment="1">
      <alignment horizontal="center"/>
    </xf>
    <xf numFmtId="2" fontId="93" fillId="33" borderId="30" xfId="0" applyNumberFormat="1" applyFont="1" applyFill="1" applyBorder="1" applyAlignment="1">
      <alignment horizontal="right"/>
    </xf>
    <xf numFmtId="2" fontId="93" fillId="33" borderId="37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3" fillId="0" borderId="30" xfId="0" applyNumberFormat="1" applyFont="1" applyFill="1" applyBorder="1" applyAlignment="1">
      <alignment horizontal="right"/>
    </xf>
    <xf numFmtId="2" fontId="93" fillId="0" borderId="37" xfId="0" applyNumberFormat="1" applyFont="1" applyFill="1" applyBorder="1" applyAlignment="1">
      <alignment horizontal="right"/>
    </xf>
    <xf numFmtId="198" fontId="93" fillId="33" borderId="30" xfId="0" applyNumberFormat="1" applyFont="1" applyFill="1" applyBorder="1" applyAlignment="1">
      <alignment horizontal="right"/>
    </xf>
    <xf numFmtId="198" fontId="93" fillId="33" borderId="37" xfId="0" applyNumberFormat="1" applyFont="1" applyFill="1" applyBorder="1" applyAlignment="1">
      <alignment horizontal="right"/>
    </xf>
    <xf numFmtId="39" fontId="92" fillId="0" borderId="30" xfId="0" applyNumberFormat="1" applyFont="1" applyFill="1" applyBorder="1" applyAlignment="1">
      <alignment horizontal="right"/>
    </xf>
    <xf numFmtId="39" fontId="92" fillId="0" borderId="37" xfId="0" applyNumberFormat="1" applyFont="1" applyFill="1" applyBorder="1" applyAlignment="1">
      <alignment horizontal="right"/>
    </xf>
    <xf numFmtId="39" fontId="93" fillId="0" borderId="30" xfId="0" applyNumberFormat="1" applyFont="1" applyFill="1" applyBorder="1" applyAlignment="1">
      <alignment horizontal="right"/>
    </xf>
    <xf numFmtId="39" fontId="93" fillId="0" borderId="37" xfId="0" applyNumberFormat="1" applyFont="1" applyFill="1" applyBorder="1" applyAlignment="1">
      <alignment horizontal="right"/>
    </xf>
    <xf numFmtId="4" fontId="93" fillId="0" borderId="30" xfId="0" applyNumberFormat="1" applyFont="1" applyFill="1" applyBorder="1" applyAlignment="1">
      <alignment horizontal="right"/>
    </xf>
    <xf numFmtId="4" fontId="93" fillId="0" borderId="37" xfId="0" applyNumberFormat="1" applyFont="1" applyFill="1" applyBorder="1" applyAlignment="1">
      <alignment horizontal="right"/>
    </xf>
    <xf numFmtId="39" fontId="93" fillId="0" borderId="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94SEPTBL" xfId="58"/>
    <cellStyle name="Normal_FSR#0900" xfId="59"/>
    <cellStyle name="Normal_FSR(sept)" xfId="60"/>
    <cellStyle name="Normal_JUNEFSR" xfId="61"/>
    <cellStyle name="Normal_OSDCOBJ" xfId="62"/>
    <cellStyle name="Normal_OSDCS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NEW YORK CITY DEPARTMENT OF EDUCATION         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FY2016 ADOPTED BUDGET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FY2014 &amp; FY2015 YTD COMMITMENTS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UA GROUPING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$'s in MILLIONS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9075"/>
          <c:w val="0.9617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'[4]FY14-16 YTD &amp; Adp by Grouping'!$O$4:$O$5</c:f>
              <c:strCache>
                <c:ptCount val="1"/>
                <c:pt idx="0">
                  <c:v>SCHOOLS</c:v>
                </c:pt>
              </c:strCache>
            </c:strRef>
          </c:tx>
          <c:spPr>
            <a:pattFill prst="wdUpDiag">
              <a:fgClr>
                <a:srgbClr val="008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Grouping'!$O$12:$O$14</c:f>
              <c:numCache>
                <c:ptCount val="3"/>
                <c:pt idx="0">
                  <c:v>7496.710626370001</c:v>
                </c:pt>
                <c:pt idx="1">
                  <c:v>7765.45612633</c:v>
                </c:pt>
                <c:pt idx="2">
                  <c:v>8823.54267</c:v>
                </c:pt>
              </c:numCache>
            </c:numRef>
          </c:val>
        </c:ser>
        <c:ser>
          <c:idx val="2"/>
          <c:order val="1"/>
          <c:tx>
            <c:strRef>
              <c:f>'[4]FY14-16 YTD &amp; Adp by Grouping'!$Q$4:$Q$5</c:f>
              <c:strCache>
                <c:ptCount val="1"/>
                <c:pt idx="0">
                  <c:v>CITYWIDE SPEC ED</c:v>
                </c:pt>
              </c:strCache>
            </c:strRef>
          </c:tx>
          <c:spPr>
            <a:pattFill prst="pct60">
              <a:fgClr>
                <a:srgbClr val="FFFFCC"/>
              </a:fgClr>
              <a:bgClr>
                <a:srgbClr val="00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Grouping'!$Q$12:$Q$14</c:f>
              <c:numCache>
                <c:ptCount val="3"/>
                <c:pt idx="0">
                  <c:v>1284.44962916</c:v>
                </c:pt>
                <c:pt idx="1">
                  <c:v>1379.6176234199997</c:v>
                </c:pt>
                <c:pt idx="2">
                  <c:v>1484.0409819999998</c:v>
                </c:pt>
              </c:numCache>
            </c:numRef>
          </c:val>
        </c:ser>
        <c:ser>
          <c:idx val="3"/>
          <c:order val="2"/>
          <c:tx>
            <c:strRef>
              <c:f>'[4]FY14-16 YTD &amp; Adp by Grouping'!$R$3:$R$5</c:f>
              <c:strCache>
                <c:ptCount val="1"/>
                <c:pt idx="0">
                  <c:v>FOOD, TRANS, FACILITIES &amp; SAFETY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Grouping'!$R$12:$R$14</c:f>
              <c:numCache>
                <c:ptCount val="3"/>
                <c:pt idx="0">
                  <c:v>2981.15637867</c:v>
                </c:pt>
                <c:pt idx="1">
                  <c:v>3129.0619065099995</c:v>
                </c:pt>
                <c:pt idx="2">
                  <c:v>3216.3914400000003</c:v>
                </c:pt>
              </c:numCache>
            </c:numRef>
          </c:val>
        </c:ser>
        <c:ser>
          <c:idx val="4"/>
          <c:order val="3"/>
          <c:tx>
            <c:strRef>
              <c:f>'[4]FY14-16 YTD &amp; Adp by Grouping'!$P$4:$P$5</c:f>
              <c:strCache>
                <c:ptCount val="1"/>
                <c:pt idx="0">
                  <c:v>FIELD SUPPORT &amp; CENTRAL ADMIN.</c:v>
                </c:pt>
              </c:strCache>
            </c:strRef>
          </c:tx>
          <c:spPr>
            <a:pattFill prst="dk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Grouping'!$P$12:$P$14</c:f>
              <c:numCache>
                <c:ptCount val="3"/>
                <c:pt idx="0">
                  <c:v>489.10085361</c:v>
                </c:pt>
                <c:pt idx="1">
                  <c:v>606.39008774</c:v>
                </c:pt>
                <c:pt idx="2">
                  <c:v>625.106809</c:v>
                </c:pt>
              </c:numCache>
            </c:numRef>
          </c:val>
        </c:ser>
        <c:ser>
          <c:idx val="5"/>
          <c:order val="4"/>
          <c:tx>
            <c:strRef>
              <c:f>'[4]FY14-16 YTD &amp; Adp by Grouping'!$S$4:$S$5</c:f>
              <c:strCache>
                <c:ptCount val="1"/>
                <c:pt idx="0">
                  <c:v>FRINGES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Grouping'!$S$12:$S$14</c:f>
              <c:numCache>
                <c:ptCount val="3"/>
                <c:pt idx="0">
                  <c:v>2837.78381159</c:v>
                </c:pt>
                <c:pt idx="1">
                  <c:v>2876.580148</c:v>
                </c:pt>
                <c:pt idx="2">
                  <c:v>3043.659644</c:v>
                </c:pt>
              </c:numCache>
            </c:numRef>
          </c:val>
        </c:ser>
        <c:ser>
          <c:idx val="6"/>
          <c:order val="5"/>
          <c:tx>
            <c:strRef>
              <c:f>'[4]FY14-16 YTD &amp; Adp by Grouping'!$T$4:$T$5</c:f>
              <c:strCache>
                <c:ptCount val="1"/>
                <c:pt idx="0">
                  <c:v>NON-PUBLIC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33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Grouping'!$T$12:$T$14</c:f>
              <c:numCache>
                <c:ptCount val="3"/>
                <c:pt idx="0">
                  <c:v>2571.7729728199997</c:v>
                </c:pt>
                <c:pt idx="1">
                  <c:v>2859.97892</c:v>
                </c:pt>
                <c:pt idx="2">
                  <c:v>3105.63587</c:v>
                </c:pt>
              </c:numCache>
            </c:numRef>
          </c:val>
        </c:ser>
        <c:ser>
          <c:idx val="7"/>
          <c:order val="6"/>
          <c:tx>
            <c:strRef>
              <c:f>'[4]FY14-16 YTD &amp; Adp by Grouping'!$U$4:$U$5</c:f>
              <c:strCache>
                <c:ptCount val="1"/>
                <c:pt idx="0">
                  <c:v>CATEGORICAL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Grouping'!$U$12:$U$14</c:f>
              <c:numCache>
                <c:ptCount val="3"/>
                <c:pt idx="0">
                  <c:v>2032.4835172199998</c:v>
                </c:pt>
                <c:pt idx="1">
                  <c:v>2252.276661</c:v>
                </c:pt>
                <c:pt idx="2">
                  <c:v>1611.331341</c:v>
                </c:pt>
              </c:numCache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79"/>
          <c:w val="0.838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FY2015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25"/>
          <c:w val="0.64125"/>
          <c:h val="0.33125"/>
        </c:manualLayout>
      </c:layout>
      <c:pie3DChart>
        <c:varyColors val="1"/>
        <c:ser>
          <c:idx val="1"/>
          <c:order val="0"/>
          <c:tx>
            <c:v>2015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'[2]FY2015'!$F$4:$F$7</c:f>
              <c:numCache>
                <c:ptCount val="4"/>
                <c:pt idx="0">
                  <c:v>1740120.63</c:v>
                </c:pt>
                <c:pt idx="1">
                  <c:v>9253461.431</c:v>
                </c:pt>
                <c:pt idx="2">
                  <c:v>13631504.397999998</c:v>
                </c:pt>
                <c:pt idx="3">
                  <c:v>197672.59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025"/>
          <c:w val="0.122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FY2014
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35075"/>
          <c:w val="0.51875"/>
          <c:h val="0.3715"/>
        </c:manualLayout>
      </c:layout>
      <c:pie3DChart>
        <c:varyColors val="1"/>
        <c:ser>
          <c:idx val="1"/>
          <c:order val="0"/>
          <c:tx>
            <c:strRef>
              <c:f>'[2]FY2015'!$D$2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'[2]FY2015'!$D$4:$D$7</c:f>
              <c:numCache>
                <c:ptCount val="4"/>
                <c:pt idx="0">
                  <c:v>1789434.668</c:v>
                </c:pt>
                <c:pt idx="1">
                  <c:v>8663860.93</c:v>
                </c:pt>
                <c:pt idx="2">
                  <c:v>13187514.118</c:v>
                </c:pt>
                <c:pt idx="3">
                  <c:v>187456.638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225"/>
          <c:w val="0.12225"/>
          <c:h val="0.30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FY2016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5"/>
          <c:w val="0.64125"/>
          <c:h val="0.3305"/>
        </c:manualLayout>
      </c:layout>
      <c:pie3DChart>
        <c:varyColors val="1"/>
        <c:ser>
          <c:idx val="1"/>
          <c:order val="0"/>
          <c:tx>
            <c:v>FY2016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'[3]FY2016'!$A$4:$A$7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'[3]FY2016'!$F$4:$F$7</c:f>
              <c:numCache>
                <c:ptCount val="4"/>
                <c:pt idx="0">
                  <c:v>1748807.493</c:v>
                </c:pt>
                <c:pt idx="1">
                  <c:v>9724279.445</c:v>
                </c:pt>
                <c:pt idx="2">
                  <c:v>14806501.833</c:v>
                </c:pt>
                <c:pt idx="3">
                  <c:v>216874.56399999998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175"/>
          <c:w val="0.12225"/>
          <c:h val="0.306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NEW YORK CITY DEPARTMENT OF EDUCATION
REVENUE TREND AS OF ADOPTED BUDGET: FY2014 - FY2016
$'s in Millions</a:t>
            </a:r>
          </a:p>
        </c:rich>
      </c:tx>
      <c:layout>
        <c:manualLayout>
          <c:xMode val="factor"/>
          <c:yMode val="factor"/>
          <c:x val="0.021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2125"/>
          <c:w val="0.794"/>
          <c:h val="0.72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'[3]Revenue Trend - Bar Graphs'!$B$4</c:f>
              <c:strCache>
                <c:ptCount val="1"/>
                <c:pt idx="0">
                  <c:v>FY2014</c:v>
                </c:pt>
              </c:strCache>
            </c:strRef>
          </c:tx>
          <c:spPr>
            <a:pattFill prst="wdUpDiag">
              <a:fgClr>
                <a:srgbClr val="008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Graphs'!$B$5:$B$8</c:f>
              <c:numCache>
                <c:ptCount val="4"/>
                <c:pt idx="0">
                  <c:v>1789.434668</c:v>
                </c:pt>
                <c:pt idx="1">
                  <c:v>8663.860929999999</c:v>
                </c:pt>
                <c:pt idx="2">
                  <c:v>13187.514118000001</c:v>
                </c:pt>
                <c:pt idx="3">
                  <c:v>187.456638</c:v>
                </c:pt>
              </c:numCache>
            </c:numRef>
          </c:val>
        </c:ser>
        <c:ser>
          <c:idx val="0"/>
          <c:order val="1"/>
          <c:tx>
            <c:strRef>
              <c:f>'[3]Revenue Trend - Bar Graphs'!$C$4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Graphs'!$C$5:$C$8</c:f>
              <c:numCache>
                <c:ptCount val="4"/>
                <c:pt idx="0">
                  <c:v>1740.12063</c:v>
                </c:pt>
                <c:pt idx="1">
                  <c:v>9253.461431</c:v>
                </c:pt>
                <c:pt idx="2">
                  <c:v>13631.504397999997</c:v>
                </c:pt>
                <c:pt idx="3">
                  <c:v>197.67258999999999</c:v>
                </c:pt>
              </c:numCache>
            </c:numRef>
          </c:val>
        </c:ser>
        <c:ser>
          <c:idx val="1"/>
          <c:order val="2"/>
          <c:tx>
            <c:strRef>
              <c:f>'[3]Revenue Trend - Bar Graphs'!$D$4</c:f>
              <c:strCache>
                <c:ptCount val="1"/>
                <c:pt idx="0">
                  <c:v>FY2016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Graphs'!$D$5:$D$8</c:f>
              <c:numCache>
                <c:ptCount val="4"/>
                <c:pt idx="0">
                  <c:v>1748.807493</c:v>
                </c:pt>
                <c:pt idx="1">
                  <c:v>9724.279445</c:v>
                </c:pt>
                <c:pt idx="2">
                  <c:v>14806.501833</c:v>
                </c:pt>
                <c:pt idx="3">
                  <c:v>216.874564</c:v>
                </c:pt>
              </c:numCache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60"/>
        <c:tickLblSkip val="1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1"/>
        <c:crossBetween val="between"/>
        <c:dispUnits/>
        <c:majorUnit val="1000"/>
        <c:minorUnit val="20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88525"/>
          <c:w val="0.225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</a:rPr>
              <a:t>REVENUE (%): FY04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'[1]fy2004'!$A$2:$A$5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'[1]fy2004'!$G$2:$G$5</c:f>
              <c:numCache>
                <c:ptCount val="4"/>
                <c:pt idx="0">
                  <c:v>1570588.4</c:v>
                </c:pt>
                <c:pt idx="1">
                  <c:v>5752223.7</c:v>
                </c:pt>
                <c:pt idx="2">
                  <c:v>6481877.199999999</c:v>
                </c:pt>
                <c:pt idx="3">
                  <c:v>85633.2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FY05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'[1]fy2005'!$G$4:$G$7</c:f>
              <c:numCache>
                <c:ptCount val="4"/>
                <c:pt idx="0">
                  <c:v>1738385.7</c:v>
                </c:pt>
                <c:pt idx="1">
                  <c:v>5796280.5</c:v>
                </c:pt>
                <c:pt idx="2">
                  <c:v>6843256.8</c:v>
                </c:pt>
                <c:pt idx="3">
                  <c:v>74733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'[1]fy2003'!$F$1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'[1]fy2003'!$F$2:$F$5</c:f>
              <c:numCache>
                <c:ptCount val="4"/>
                <c:pt idx="0">
                  <c:v>1242329.6</c:v>
                </c:pt>
                <c:pt idx="1">
                  <c:v>5516748.5</c:v>
                </c:pt>
                <c:pt idx="2">
                  <c:v>5576618.5</c:v>
                </c:pt>
                <c:pt idx="3">
                  <c:v>103411.7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  <a:prstDash val="dashDot"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'[1]fy2006'!$H$4:$H$7</c:f>
              <c:numCache>
                <c:ptCount val="4"/>
                <c:pt idx="0">
                  <c:v>1812615.2</c:v>
                </c:pt>
                <c:pt idx="1">
                  <c:v>6441679.8</c:v>
                </c:pt>
                <c:pt idx="2">
                  <c:v>7987664.5</c:v>
                </c:pt>
                <c:pt idx="3">
                  <c:v>89182.2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12</xdr:col>
      <xdr:colOff>676275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57150" y="66675"/>
        <a:ext cx="79343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0.55625</cdr:y>
    </cdr:from>
    <cdr:to>
      <cdr:x>0.57325</cdr:x>
      <cdr:y>0.5775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3409950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0.04625</cdr:x>
      <cdr:y>0.8495</cdr:y>
    </cdr:from>
    <cdr:to>
      <cdr:x>0.0465</cdr:x>
      <cdr:y>0.85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66725" y="521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39</xdr:row>
      <xdr:rowOff>0</xdr:rowOff>
    </xdr:from>
    <xdr:ext cx="85725" cy="190500"/>
    <xdr:sp fLocksText="0">
      <xdr:nvSpPr>
        <xdr:cNvPr id="1" name="Text Box 8"/>
        <xdr:cNvSpPr txBox="1">
          <a:spLocks noChangeArrowheads="1"/>
        </xdr:cNvSpPr>
      </xdr:nvSpPr>
      <xdr:spPr>
        <a:xfrm>
          <a:off x="1828800" y="631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16</xdr:col>
      <xdr:colOff>581025</xdr:colOff>
      <xdr:row>37</xdr:row>
      <xdr:rowOff>152400</xdr:rowOff>
    </xdr:to>
    <xdr:graphicFrame>
      <xdr:nvGraphicFramePr>
        <xdr:cNvPr id="2" name="Chart 1"/>
        <xdr:cNvGraphicFramePr/>
      </xdr:nvGraphicFramePr>
      <xdr:xfrm>
        <a:off x="0" y="0"/>
        <a:ext cx="102298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561975</xdr:colOff>
      <xdr:row>40</xdr:row>
      <xdr:rowOff>114300</xdr:rowOff>
    </xdr:from>
    <xdr:ext cx="83724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561975" y="6591300"/>
          <a:ext cx="837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914400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7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8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9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10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714375</xdr:colOff>
      <xdr:row>21</xdr:row>
      <xdr:rowOff>95250</xdr:rowOff>
    </xdr:from>
    <xdr:to>
      <xdr:col>6</xdr:col>
      <xdr:colOff>476250</xdr:colOff>
      <xdr:row>38</xdr:row>
      <xdr:rowOff>19050</xdr:rowOff>
    </xdr:to>
    <xdr:graphicFrame>
      <xdr:nvGraphicFramePr>
        <xdr:cNvPr id="11" name="Chart 3"/>
        <xdr:cNvGraphicFramePr/>
      </xdr:nvGraphicFramePr>
      <xdr:xfrm>
        <a:off x="1476375" y="3638550"/>
        <a:ext cx="4762500" cy="2676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714375</xdr:colOff>
      <xdr:row>38</xdr:row>
      <xdr:rowOff>19050</xdr:rowOff>
    </xdr:from>
    <xdr:to>
      <xdr:col>6</xdr:col>
      <xdr:colOff>476250</xdr:colOff>
      <xdr:row>54</xdr:row>
      <xdr:rowOff>123825</xdr:rowOff>
    </xdr:to>
    <xdr:graphicFrame>
      <xdr:nvGraphicFramePr>
        <xdr:cNvPr id="12" name="Chart 14"/>
        <xdr:cNvGraphicFramePr/>
      </xdr:nvGraphicFramePr>
      <xdr:xfrm>
        <a:off x="1476375" y="6315075"/>
        <a:ext cx="4762500" cy="2686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714375</xdr:colOff>
      <xdr:row>5</xdr:row>
      <xdr:rowOff>19050</xdr:rowOff>
    </xdr:from>
    <xdr:to>
      <xdr:col>6</xdr:col>
      <xdr:colOff>476250</xdr:colOff>
      <xdr:row>21</xdr:row>
      <xdr:rowOff>95250</xdr:rowOff>
    </xdr:to>
    <xdr:graphicFrame>
      <xdr:nvGraphicFramePr>
        <xdr:cNvPr id="13" name="Chart 3"/>
        <xdr:cNvGraphicFramePr/>
      </xdr:nvGraphicFramePr>
      <xdr:xfrm>
        <a:off x="1476375" y="971550"/>
        <a:ext cx="4762500" cy="2667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0</xdr:row>
      <xdr:rowOff>0</xdr:rowOff>
    </xdr:from>
    <xdr:ext cx="104775" cy="828675"/>
    <xdr:sp fLocksText="0">
      <xdr:nvSpPr>
        <xdr:cNvPr id="1" name="Text Box 1"/>
        <xdr:cNvSpPr txBox="1">
          <a:spLocks noChangeArrowheads="1"/>
        </xdr:cNvSpPr>
      </xdr:nvSpPr>
      <xdr:spPr>
        <a:xfrm>
          <a:off x="18288000" y="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0</xdr:row>
      <xdr:rowOff>0</xdr:rowOff>
    </xdr:from>
    <xdr:ext cx="1143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8802350" y="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63</xdr:row>
      <xdr:rowOff>0</xdr:rowOff>
    </xdr:from>
    <xdr:ext cx="11430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8802350" y="10544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514350</xdr:colOff>
      <xdr:row>0</xdr:row>
      <xdr:rowOff>0</xdr:rowOff>
    </xdr:from>
    <xdr:ext cx="1143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8669000" y="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32</xdr:row>
      <xdr:rowOff>171450</xdr:rowOff>
    </xdr:from>
    <xdr:ext cx="1143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8669000" y="54959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6\SEPT%202005%20FSR_FINAL\revenuetrend(03-06)_(Sept.%20FY2006%20FS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SEPTEMBER%202015%20FSR_SUBMIT\FY2015%20Revenue%20Trend%20grap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2016_September%202015%20FSR_DRAFT\FY2016%20Revenue%20Trend%20grap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16\FY2016_September%202015%20FSR_DRAFT\FY2016%20Adopted%20Budget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Revenue Trend - Bar Graphs"/>
      <sheetName val="Pie Charts"/>
      <sheetName val="fy2006"/>
      <sheetName val="fy2005"/>
      <sheetName val="fy2004"/>
      <sheetName val="fy2003"/>
      <sheetName val="fy2002"/>
      <sheetName val="fy2001"/>
      <sheetName val="TOTAL"/>
      <sheetName val="#s"/>
      <sheetName val="SBBR data"/>
      <sheetName val="Sheet1"/>
    </sheetNames>
    <sheetDataSet>
      <sheetData sheetId="3">
        <row r="4">
          <cell r="A4" t="str">
            <v>Federal</v>
          </cell>
          <cell r="H4">
            <v>1812615.2</v>
          </cell>
        </row>
        <row r="5">
          <cell r="A5" t="str">
            <v>State</v>
          </cell>
          <cell r="H5">
            <v>6441679.8</v>
          </cell>
        </row>
        <row r="6">
          <cell r="A6" t="str">
            <v>City</v>
          </cell>
          <cell r="H6">
            <v>7987664.5</v>
          </cell>
        </row>
        <row r="7">
          <cell r="A7" t="str">
            <v>Other</v>
          </cell>
          <cell r="H7">
            <v>89182.2</v>
          </cell>
        </row>
      </sheetData>
      <sheetData sheetId="4">
        <row r="4">
          <cell r="A4" t="str">
            <v>Federal</v>
          </cell>
          <cell r="G4">
            <v>1738385.7</v>
          </cell>
        </row>
        <row r="5">
          <cell r="A5" t="str">
            <v>State</v>
          </cell>
          <cell r="G5">
            <v>5796280.5</v>
          </cell>
        </row>
        <row r="6">
          <cell r="A6" t="str">
            <v>City</v>
          </cell>
          <cell r="G6">
            <v>6843256.8</v>
          </cell>
        </row>
        <row r="7">
          <cell r="A7" t="str">
            <v>Other</v>
          </cell>
          <cell r="G7">
            <v>74733</v>
          </cell>
        </row>
      </sheetData>
      <sheetData sheetId="5">
        <row r="2">
          <cell r="A2" t="str">
            <v>Federal</v>
          </cell>
          <cell r="G2">
            <v>1570588.4</v>
          </cell>
        </row>
        <row r="3">
          <cell r="A3" t="str">
            <v>State</v>
          </cell>
          <cell r="G3">
            <v>5752223.7</v>
          </cell>
        </row>
        <row r="4">
          <cell r="A4" t="str">
            <v>City</v>
          </cell>
          <cell r="G4">
            <v>6481877.199999999</v>
          </cell>
        </row>
        <row r="5">
          <cell r="A5" t="str">
            <v>Other</v>
          </cell>
          <cell r="G5">
            <v>85633.2</v>
          </cell>
        </row>
      </sheetData>
      <sheetData sheetId="6">
        <row r="1">
          <cell r="D1">
            <v>2001</v>
          </cell>
          <cell r="E1">
            <v>2002</v>
          </cell>
          <cell r="F1">
            <v>2003</v>
          </cell>
        </row>
        <row r="2">
          <cell r="A2" t="str">
            <v>Federal</v>
          </cell>
          <cell r="D2">
            <v>1043021.5</v>
          </cell>
          <cell r="E2">
            <v>1051465</v>
          </cell>
          <cell r="F2">
            <v>1242329.6</v>
          </cell>
        </row>
        <row r="3">
          <cell r="A3" t="str">
            <v>State</v>
          </cell>
          <cell r="D3">
            <v>5227550.5</v>
          </cell>
          <cell r="E3">
            <v>5397193</v>
          </cell>
          <cell r="F3">
            <v>5516748.5</v>
          </cell>
        </row>
        <row r="4">
          <cell r="A4" t="str">
            <v>City</v>
          </cell>
          <cell r="D4">
            <v>5270471</v>
          </cell>
          <cell r="E4">
            <v>5262782.8</v>
          </cell>
          <cell r="F4">
            <v>5576618.5</v>
          </cell>
        </row>
        <row r="5">
          <cell r="A5" t="str">
            <v>Other</v>
          </cell>
          <cell r="D5">
            <v>70749.1</v>
          </cell>
          <cell r="E5">
            <v>64327</v>
          </cell>
          <cell r="F5">
            <v>103411.7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3">
        <row r="2">
          <cell r="D2" t="str">
            <v>FY2014</v>
          </cell>
        </row>
        <row r="4">
          <cell r="A4" t="str">
            <v>Federal</v>
          </cell>
          <cell r="D4">
            <v>1789434.668</v>
          </cell>
          <cell r="F4">
            <v>1740120.63</v>
          </cell>
        </row>
        <row r="5">
          <cell r="A5" t="str">
            <v>State</v>
          </cell>
          <cell r="D5">
            <v>8663860.93</v>
          </cell>
          <cell r="F5">
            <v>9253461.431</v>
          </cell>
        </row>
        <row r="6">
          <cell r="A6" t="str">
            <v>City</v>
          </cell>
          <cell r="D6">
            <v>13187514.118</v>
          </cell>
          <cell r="F6">
            <v>13631504.397999998</v>
          </cell>
        </row>
        <row r="7">
          <cell r="A7" t="str">
            <v>Other</v>
          </cell>
          <cell r="D7">
            <v>187456.638</v>
          </cell>
          <cell r="F7">
            <v>197672.59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6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1">
        <row r="4">
          <cell r="B4" t="str">
            <v>FY2014</v>
          </cell>
          <cell r="C4" t="str">
            <v>FY2015</v>
          </cell>
          <cell r="D4" t="str">
            <v>FY2016</v>
          </cell>
        </row>
        <row r="5">
          <cell r="A5" t="str">
            <v>Federal</v>
          </cell>
          <cell r="B5">
            <v>1789.434668</v>
          </cell>
          <cell r="C5">
            <v>1740.12063</v>
          </cell>
          <cell r="D5">
            <v>1748.807493</v>
          </cell>
        </row>
        <row r="6">
          <cell r="A6" t="str">
            <v>State</v>
          </cell>
          <cell r="B6">
            <v>8663.860929999999</v>
          </cell>
          <cell r="C6">
            <v>9253.461431</v>
          </cell>
          <cell r="D6">
            <v>9724.279445</v>
          </cell>
        </row>
        <row r="7">
          <cell r="A7" t="str">
            <v>City</v>
          </cell>
          <cell r="B7">
            <v>13187.514118000001</v>
          </cell>
          <cell r="C7">
            <v>13631.504397999997</v>
          </cell>
          <cell r="D7">
            <v>14806.501833</v>
          </cell>
        </row>
        <row r="8">
          <cell r="A8" t="str">
            <v>Other </v>
          </cell>
          <cell r="B8">
            <v>187.456638</v>
          </cell>
          <cell r="C8">
            <v>197.67258999999999</v>
          </cell>
          <cell r="D8">
            <v>216.874564</v>
          </cell>
        </row>
      </sheetData>
      <sheetData sheetId="3">
        <row r="4">
          <cell r="A4" t="str">
            <v>Federal</v>
          </cell>
          <cell r="F4">
            <v>1748807.493</v>
          </cell>
        </row>
        <row r="5">
          <cell r="A5" t="str">
            <v>State</v>
          </cell>
          <cell r="F5">
            <v>9724279.445</v>
          </cell>
        </row>
        <row r="6">
          <cell r="A6" t="str">
            <v>City</v>
          </cell>
          <cell r="F6">
            <v>14806501.833</v>
          </cell>
        </row>
        <row r="7">
          <cell r="A7" t="str">
            <v>Other</v>
          </cell>
          <cell r="F7">
            <v>216874.56399999998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R CHART-YTD COMMIT &amp; ADPT"/>
      <sheetName val="PIE CHART-YTD COMMIT &amp; ADPT "/>
      <sheetName val="FY14-16 YTD &amp; Adp by Grouping"/>
      <sheetName val="FY13-15 YTD &amp; Adp by Grouping "/>
      <sheetName val="FY12-14 YTD &amp; Adp by Grouping"/>
      <sheetName val="FY11-13 YTD &amp; Adp by Grouping"/>
      <sheetName val="FY10-12 YTD &amp; Adp by Grouping"/>
      <sheetName val="FY16UA's Source DOC-ADPT "/>
      <sheetName val="FY15UA's Source DOC-ADPT "/>
      <sheetName val="FY14 UA's Source DOC-ADPT"/>
      <sheetName val="FY13 UA's Source DOC-ADPT "/>
      <sheetName val="FY12 UA's Source DOC-ADPT "/>
      <sheetName val="FY11 UA's Source DOC-ADPT"/>
      <sheetName val="FY10 UA's SOURCE DOC-ADPT"/>
      <sheetName val="FY09 UA's SOURCE DOC-YTD "/>
    </sheetNames>
    <sheetDataSet>
      <sheetData sheetId="2">
        <row r="3">
          <cell r="R3" t="str">
            <v>FOOD, TRANS, FACILITIES &amp; SAFETY</v>
          </cell>
        </row>
        <row r="4">
          <cell r="O4" t="str">
            <v>SCHOOLS</v>
          </cell>
          <cell r="P4" t="str">
            <v>FIELD SUPPORT &amp; CENTRAL ADMIN.</v>
          </cell>
          <cell r="Q4" t="str">
            <v>CITYWIDE SPEC ED</v>
          </cell>
          <cell r="S4" t="str">
            <v>FRINGES</v>
          </cell>
          <cell r="T4" t="str">
            <v>NON-PUBLIC</v>
          </cell>
          <cell r="U4" t="str">
            <v>CATEGORICAL</v>
          </cell>
        </row>
        <row r="12">
          <cell r="N12" t="str">
            <v>FY2014</v>
          </cell>
          <cell r="O12">
            <v>7496.710626370001</v>
          </cell>
          <cell r="P12">
            <v>489.10085361</v>
          </cell>
          <cell r="Q12">
            <v>1284.44962916</v>
          </cell>
          <cell r="R12">
            <v>2981.15637867</v>
          </cell>
          <cell r="S12">
            <v>2837.78381159</v>
          </cell>
          <cell r="T12">
            <v>2571.7729728199997</v>
          </cell>
          <cell r="U12">
            <v>2032.4835172199998</v>
          </cell>
        </row>
        <row r="13">
          <cell r="N13" t="str">
            <v>FY2015</v>
          </cell>
          <cell r="O13">
            <v>7765.45612633</v>
          </cell>
          <cell r="P13">
            <v>606.39008774</v>
          </cell>
          <cell r="Q13">
            <v>1379.6176234199997</v>
          </cell>
          <cell r="R13">
            <v>3129.0619065099995</v>
          </cell>
          <cell r="S13">
            <v>2876.580148</v>
          </cell>
          <cell r="T13">
            <v>2859.97892</v>
          </cell>
          <cell r="U13">
            <v>2252.276661</v>
          </cell>
        </row>
        <row r="14">
          <cell r="N14" t="str">
            <v>FY2016</v>
          </cell>
          <cell r="O14">
            <v>8823.54267</v>
          </cell>
          <cell r="P14">
            <v>625.106809</v>
          </cell>
          <cell r="Q14">
            <v>1484.0409819999998</v>
          </cell>
          <cell r="R14">
            <v>3216.3914400000003</v>
          </cell>
          <cell r="S14">
            <v>3043.659644</v>
          </cell>
          <cell r="T14">
            <v>3105.63587</v>
          </cell>
          <cell r="U14">
            <v>1611.331341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5.421875" style="0" customWidth="1"/>
    <col min="2" max="2" width="9.140625" style="0" customWidth="1"/>
    <col min="3" max="3" width="87.8515625" style="0" customWidth="1"/>
    <col min="4" max="4" width="9.8515625" style="234" customWidth="1"/>
    <col min="5" max="5" width="1.421875" style="0" customWidth="1"/>
    <col min="6" max="6" width="6.00390625" style="0" customWidth="1"/>
    <col min="7" max="7" width="9.140625" style="0" customWidth="1"/>
    <col min="8" max="16384" width="8.8515625" style="533" customWidth="1"/>
  </cols>
  <sheetData>
    <row r="1" ht="27" customHeight="1" thickBot="1"/>
    <row r="2" spans="1:7" ht="24" customHeight="1" thickTop="1">
      <c r="A2" s="227"/>
      <c r="B2" s="581" t="s">
        <v>516</v>
      </c>
      <c r="C2" s="582"/>
      <c r="D2" s="582"/>
      <c r="E2" s="583"/>
      <c r="F2" s="227"/>
      <c r="G2" s="227"/>
    </row>
    <row r="3" spans="1:7" ht="24" customHeight="1">
      <c r="A3" s="227"/>
      <c r="B3" s="587" t="s">
        <v>517</v>
      </c>
      <c r="C3" s="588"/>
      <c r="D3" s="588"/>
      <c r="E3" s="589"/>
      <c r="F3" s="227"/>
      <c r="G3" s="227"/>
    </row>
    <row r="4" spans="2:5" ht="22.5">
      <c r="B4" s="584" t="s">
        <v>306</v>
      </c>
      <c r="C4" s="585"/>
      <c r="D4" s="585"/>
      <c r="E4" s="586"/>
    </row>
    <row r="5" spans="2:5" ht="18">
      <c r="B5" s="248"/>
      <c r="C5" s="249"/>
      <c r="D5" s="245"/>
      <c r="E5" s="250"/>
    </row>
    <row r="6" spans="2:5" ht="18">
      <c r="B6" s="248"/>
      <c r="C6" s="249"/>
      <c r="D6" s="316" t="s">
        <v>307</v>
      </c>
      <c r="E6" s="250"/>
    </row>
    <row r="7" spans="2:5" ht="18">
      <c r="B7" s="248"/>
      <c r="C7" s="249"/>
      <c r="D7" s="316"/>
      <c r="E7" s="250"/>
    </row>
    <row r="8" spans="2:5" ht="18">
      <c r="B8" s="251"/>
      <c r="C8" s="246" t="s">
        <v>308</v>
      </c>
      <c r="D8" s="317">
        <v>1</v>
      </c>
      <c r="E8" s="252"/>
    </row>
    <row r="9" spans="2:5" ht="18">
      <c r="B9" s="251"/>
      <c r="C9" s="246"/>
      <c r="D9" s="317"/>
      <c r="E9" s="252"/>
    </row>
    <row r="10" spans="2:5" ht="18">
      <c r="B10" s="251"/>
      <c r="C10" s="254" t="s">
        <v>336</v>
      </c>
      <c r="D10" s="317"/>
      <c r="E10" s="252"/>
    </row>
    <row r="11" spans="2:5" ht="18">
      <c r="B11" s="251"/>
      <c r="C11" s="256" t="s">
        <v>345</v>
      </c>
      <c r="D11" s="317">
        <v>2</v>
      </c>
      <c r="E11" s="252"/>
    </row>
    <row r="12" spans="2:5" ht="18">
      <c r="B12" s="251"/>
      <c r="C12" s="246"/>
      <c r="D12" s="317"/>
      <c r="E12" s="252"/>
    </row>
    <row r="13" spans="2:5" ht="18">
      <c r="B13" s="251"/>
      <c r="C13" s="254" t="s">
        <v>518</v>
      </c>
      <c r="D13" s="247"/>
      <c r="E13" s="252"/>
    </row>
    <row r="14" spans="2:5" ht="18">
      <c r="B14" s="251"/>
      <c r="C14" s="347" t="s">
        <v>346</v>
      </c>
      <c r="D14" s="247">
        <v>3</v>
      </c>
      <c r="E14" s="252"/>
    </row>
    <row r="15" spans="2:5" ht="18">
      <c r="B15" s="253"/>
      <c r="C15" s="256"/>
      <c r="D15" s="247"/>
      <c r="E15" s="255"/>
    </row>
    <row r="16" spans="2:5" ht="18">
      <c r="B16" s="253"/>
      <c r="C16" s="254" t="s">
        <v>309</v>
      </c>
      <c r="D16" s="247"/>
      <c r="E16" s="255"/>
    </row>
    <row r="17" spans="2:5" ht="18">
      <c r="B17" s="253"/>
      <c r="C17" s="256" t="s">
        <v>347</v>
      </c>
      <c r="D17" s="247">
        <v>4</v>
      </c>
      <c r="E17" s="255"/>
    </row>
    <row r="18" spans="2:5" ht="18">
      <c r="B18" s="253"/>
      <c r="C18" s="256" t="s">
        <v>348</v>
      </c>
      <c r="D18" s="247">
        <v>7</v>
      </c>
      <c r="E18" s="255"/>
    </row>
    <row r="19" spans="2:5" ht="18">
      <c r="B19" s="253"/>
      <c r="C19" s="254"/>
      <c r="D19" s="247"/>
      <c r="E19" s="255"/>
    </row>
    <row r="20" spans="2:5" ht="18">
      <c r="B20" s="253"/>
      <c r="C20" s="254" t="s">
        <v>349</v>
      </c>
      <c r="D20" s="247"/>
      <c r="E20" s="255"/>
    </row>
    <row r="21" spans="2:5" ht="18">
      <c r="B21" s="253"/>
      <c r="C21" s="256" t="s">
        <v>350</v>
      </c>
      <c r="D21" s="247">
        <v>9</v>
      </c>
      <c r="E21" s="255"/>
    </row>
    <row r="22" spans="2:5" ht="18">
      <c r="B22" s="253"/>
      <c r="C22" s="256" t="s">
        <v>621</v>
      </c>
      <c r="D22" s="247">
        <v>10</v>
      </c>
      <c r="E22" s="255"/>
    </row>
    <row r="23" spans="2:5" ht="18">
      <c r="B23" s="253"/>
      <c r="C23" s="254"/>
      <c r="D23" s="247"/>
      <c r="E23" s="255"/>
    </row>
    <row r="24" spans="2:5" ht="18">
      <c r="B24" s="253"/>
      <c r="C24" s="254" t="s">
        <v>513</v>
      </c>
      <c r="D24" s="247"/>
      <c r="E24" s="255"/>
    </row>
    <row r="25" spans="2:5" ht="18">
      <c r="B25" s="253"/>
      <c r="C25" s="256" t="s">
        <v>351</v>
      </c>
      <c r="D25" s="247">
        <v>11</v>
      </c>
      <c r="E25" s="255"/>
    </row>
    <row r="26" spans="2:5" ht="18">
      <c r="B26" s="253"/>
      <c r="C26" s="256" t="s">
        <v>352</v>
      </c>
      <c r="D26" s="247">
        <v>12</v>
      </c>
      <c r="E26" s="255"/>
    </row>
    <row r="27" spans="2:5" ht="18">
      <c r="B27" s="253"/>
      <c r="C27" s="256" t="s">
        <v>353</v>
      </c>
      <c r="D27" s="247">
        <v>13</v>
      </c>
      <c r="E27" s="255"/>
    </row>
    <row r="28" spans="2:5" ht="18">
      <c r="B28" s="253"/>
      <c r="C28" s="254"/>
      <c r="D28" s="247"/>
      <c r="E28" s="255"/>
    </row>
    <row r="29" spans="2:5" ht="18">
      <c r="B29" s="253"/>
      <c r="C29" s="254" t="s">
        <v>519</v>
      </c>
      <c r="D29" s="247">
        <v>14</v>
      </c>
      <c r="E29" s="255"/>
    </row>
    <row r="30" spans="2:5" ht="18">
      <c r="B30" s="253"/>
      <c r="C30" s="254"/>
      <c r="D30" s="247"/>
      <c r="E30" s="255"/>
    </row>
    <row r="31" spans="2:5" ht="18">
      <c r="B31" s="253"/>
      <c r="C31" s="254"/>
      <c r="D31" s="247"/>
      <c r="E31" s="255"/>
    </row>
    <row r="32" spans="2:5" ht="18">
      <c r="B32" s="253"/>
      <c r="C32" s="254"/>
      <c r="D32" s="247"/>
      <c r="E32" s="255"/>
    </row>
    <row r="33" spans="2:5" ht="15.75" thickBot="1">
      <c r="B33" s="349"/>
      <c r="C33" s="350"/>
      <c r="D33" s="351"/>
      <c r="E33" s="352"/>
    </row>
    <row r="34" ht="15.75" thickTop="1"/>
  </sheetData>
  <sheetProtection/>
  <mergeCells count="3">
    <mergeCell ref="B2:E2"/>
    <mergeCell ref="B4:E4"/>
    <mergeCell ref="B3:E3"/>
  </mergeCells>
  <printOptions horizontalCentered="1"/>
  <pageMargins left="0" right="0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1:Q42"/>
  <sheetViews>
    <sheetView zoomScale="80" zoomScaleNormal="80" zoomScalePageLayoutView="0" workbookViewId="0" topLeftCell="A26">
      <selection activeCell="R42" sqref="R42"/>
    </sheetView>
  </sheetViews>
  <sheetFormatPr defaultColWidth="9.140625" defaultRowHeight="12.75"/>
  <cols>
    <col min="1" max="2" width="9.140625" style="0" customWidth="1"/>
    <col min="14" max="15" width="9.140625" style="0" customWidth="1"/>
    <col min="16" max="16" width="7.57421875" style="0" customWidth="1"/>
  </cols>
  <sheetData>
    <row r="41" spans="1:17" ht="14.25">
      <c r="A41" s="602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</row>
    <row r="42" ht="15">
      <c r="B42" s="580" t="s">
        <v>633</v>
      </c>
    </row>
  </sheetData>
  <sheetProtection/>
  <mergeCells count="1">
    <mergeCell ref="A41:Q41"/>
  </mergeCells>
  <printOptions horizontalCentered="1" verticalCentered="1"/>
  <pageMargins left="0" right="0" top="0.5" bottom="0.5" header="0" footer="0.25"/>
  <pageSetup horizontalDpi="600" verticalDpi="600" orientation="landscape" scale="80" r:id="rId2"/>
  <headerFooter alignWithMargins="0">
    <oddFooter>&amp;C&amp;14- 9 -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28">
      <selection activeCell="I47" sqref="I47"/>
    </sheetView>
  </sheetViews>
  <sheetFormatPr defaultColWidth="11.421875" defaultRowHeight="12.75"/>
  <cols>
    <col min="1" max="1" width="11.421875" style="0" customWidth="1"/>
    <col min="2" max="2" width="14.8515625" style="0" customWidth="1"/>
    <col min="3" max="3" width="15.421875" style="0" customWidth="1"/>
    <col min="4" max="4" width="15.00390625" style="0" customWidth="1"/>
    <col min="5" max="5" width="14.8515625" style="0" customWidth="1"/>
    <col min="6" max="6" width="14.8515625" style="0" bestFit="1" customWidth="1"/>
    <col min="7" max="7" width="14.00390625" style="0" customWidth="1"/>
    <col min="8" max="8" width="13.7109375" style="0" bestFit="1" customWidth="1"/>
  </cols>
  <sheetData>
    <row r="1" spans="1:8" s="355" customFormat="1" ht="20.25">
      <c r="A1" s="603" t="s">
        <v>354</v>
      </c>
      <c r="B1" s="603"/>
      <c r="C1" s="603"/>
      <c r="D1" s="603"/>
      <c r="E1" s="603"/>
      <c r="F1" s="603"/>
      <c r="G1" s="603"/>
      <c r="H1" s="603"/>
    </row>
    <row r="2" spans="1:8" ht="6" customHeight="1">
      <c r="A2" s="356"/>
      <c r="B2" s="356"/>
      <c r="C2" s="356"/>
      <c r="D2" s="356"/>
      <c r="E2" s="356"/>
      <c r="F2" s="356"/>
      <c r="G2" s="356"/>
      <c r="H2" s="356"/>
    </row>
    <row r="3" spans="1:34" s="357" customFormat="1" ht="18">
      <c r="A3" s="604" t="s">
        <v>616</v>
      </c>
      <c r="B3" s="604"/>
      <c r="C3" s="604"/>
      <c r="D3" s="604"/>
      <c r="E3" s="604"/>
      <c r="F3" s="604"/>
      <c r="G3" s="604"/>
      <c r="H3" s="604"/>
      <c r="AG3"/>
      <c r="AH3"/>
    </row>
    <row r="4" spans="1:8" ht="18">
      <c r="A4" s="356"/>
      <c r="B4" s="358"/>
      <c r="C4" s="358"/>
      <c r="D4" s="358"/>
      <c r="E4" s="358"/>
      <c r="F4" s="358"/>
      <c r="G4" s="358"/>
      <c r="H4" s="358"/>
    </row>
    <row r="44" spans="2:8" ht="12" customHeight="1">
      <c r="B44" s="359"/>
      <c r="C44" s="359"/>
      <c r="D44" s="359"/>
      <c r="E44" s="359"/>
      <c r="F44" s="359"/>
      <c r="G44" s="359"/>
      <c r="H44" s="359"/>
    </row>
    <row r="45" spans="1:8" ht="12.75">
      <c r="A45" s="359"/>
      <c r="B45" s="359"/>
      <c r="C45" s="359"/>
      <c r="D45" s="359"/>
      <c r="E45" s="359"/>
      <c r="F45" s="359"/>
      <c r="G45" s="359"/>
      <c r="H45" s="359"/>
    </row>
    <row r="46" spans="1:8" ht="12.75">
      <c r="A46" s="359"/>
      <c r="B46" s="359"/>
      <c r="C46" s="359"/>
      <c r="D46" s="359"/>
      <c r="E46" s="359"/>
      <c r="F46" s="359"/>
      <c r="G46" s="359"/>
      <c r="H46" s="359"/>
    </row>
    <row r="47" spans="1:8" ht="12.75">
      <c r="A47" s="359"/>
      <c r="B47" s="359"/>
      <c r="C47" s="359"/>
      <c r="D47" s="359"/>
      <c r="E47" s="359"/>
      <c r="F47" s="359"/>
      <c r="G47" s="359"/>
      <c r="H47" s="359"/>
    </row>
    <row r="48" spans="1:8" ht="12.75">
      <c r="A48" s="359"/>
      <c r="B48" s="359"/>
      <c r="C48" s="359"/>
      <c r="D48" s="359"/>
      <c r="E48" s="359"/>
      <c r="F48" s="359"/>
      <c r="G48" s="359"/>
      <c r="H48" s="359"/>
    </row>
    <row r="49" spans="1:8" ht="12.75">
      <c r="A49" s="359"/>
      <c r="B49" s="359"/>
      <c r="C49" s="359"/>
      <c r="D49" s="359"/>
      <c r="E49" s="359"/>
      <c r="F49" s="359"/>
      <c r="G49" s="359"/>
      <c r="H49" s="359"/>
    </row>
    <row r="50" spans="1:8" ht="12.75">
      <c r="A50" s="359"/>
      <c r="B50" s="359"/>
      <c r="C50" s="359"/>
      <c r="D50" s="359"/>
      <c r="E50" s="359"/>
      <c r="F50" s="359"/>
      <c r="G50" s="359"/>
      <c r="H50" s="359"/>
    </row>
    <row r="51" spans="1:8" ht="12.75">
      <c r="A51" s="359"/>
      <c r="B51" s="359"/>
      <c r="C51" s="359"/>
      <c r="D51" s="359"/>
      <c r="E51" s="359"/>
      <c r="F51" s="359"/>
      <c r="G51" s="359"/>
      <c r="H51" s="359"/>
    </row>
    <row r="52" spans="1:8" ht="12.75">
      <c r="A52" s="359"/>
      <c r="B52" s="359"/>
      <c r="C52" s="359"/>
      <c r="D52" s="359"/>
      <c r="E52" s="359"/>
      <c r="F52" s="359"/>
      <c r="G52" s="359"/>
      <c r="H52" s="359"/>
    </row>
    <row r="53" spans="1:8" ht="12.75">
      <c r="A53" s="359"/>
      <c r="B53" s="359"/>
      <c r="C53" s="359"/>
      <c r="D53" s="359"/>
      <c r="E53" s="359"/>
      <c r="F53" s="359"/>
      <c r="G53" s="359"/>
      <c r="H53" s="359"/>
    </row>
    <row r="54" spans="1:8" ht="12.75">
      <c r="A54" s="359"/>
      <c r="B54" s="359"/>
      <c r="C54" s="359"/>
      <c r="D54" s="359"/>
      <c r="E54" s="359"/>
      <c r="F54" s="359"/>
      <c r="G54" s="359"/>
      <c r="H54" s="359"/>
    </row>
    <row r="55" spans="1:8" ht="12.75">
      <c r="A55" s="359"/>
      <c r="B55" s="359"/>
      <c r="C55" s="359"/>
      <c r="D55" s="359"/>
      <c r="E55" s="359"/>
      <c r="F55" s="359"/>
      <c r="G55" s="359"/>
      <c r="H55" s="359"/>
    </row>
    <row r="56" spans="1:8" ht="12.75">
      <c r="A56" s="359"/>
      <c r="B56" s="359"/>
      <c r="C56" s="359"/>
      <c r="D56" s="359"/>
      <c r="E56" s="359"/>
      <c r="F56" s="359"/>
      <c r="G56" s="359"/>
      <c r="H56" s="359"/>
    </row>
    <row r="57" spans="1:8" ht="12.75">
      <c r="A57" s="359"/>
      <c r="B57" s="359"/>
      <c r="C57" s="359"/>
      <c r="D57" s="359"/>
      <c r="E57" s="359"/>
      <c r="F57" s="359"/>
      <c r="G57" s="359"/>
      <c r="H57" s="359"/>
    </row>
    <row r="58" spans="1:8" ht="12.75">
      <c r="A58" s="359"/>
      <c r="B58" s="359"/>
      <c r="C58" s="359"/>
      <c r="D58" s="359"/>
      <c r="E58" s="359"/>
      <c r="F58" s="359"/>
      <c r="G58" s="359"/>
      <c r="H58" s="359"/>
    </row>
    <row r="59" spans="1:8" ht="12.75">
      <c r="A59" s="359"/>
      <c r="B59" s="359"/>
      <c r="C59" s="359"/>
      <c r="D59" s="359"/>
      <c r="E59" s="359"/>
      <c r="F59" s="359"/>
      <c r="G59" s="359"/>
      <c r="H59" s="359"/>
    </row>
    <row r="60" spans="1:8" ht="12.75">
      <c r="A60" s="359"/>
      <c r="B60" s="359"/>
      <c r="C60" s="359"/>
      <c r="D60" s="359"/>
      <c r="E60" s="359"/>
      <c r="F60" s="359"/>
      <c r="G60" s="359"/>
      <c r="H60" s="359"/>
    </row>
    <row r="61" spans="1:8" ht="12.75">
      <c r="A61" s="359"/>
      <c r="B61" s="359"/>
      <c r="C61" s="359"/>
      <c r="D61" s="359"/>
      <c r="E61" s="359"/>
      <c r="F61" s="359"/>
      <c r="G61" s="359"/>
      <c r="H61" s="359"/>
    </row>
    <row r="62" spans="1:8" ht="12.75">
      <c r="A62" s="605" t="s">
        <v>515</v>
      </c>
      <c r="B62" s="605"/>
      <c r="C62" s="605"/>
      <c r="D62" s="605"/>
      <c r="E62" s="605"/>
      <c r="F62" s="605"/>
      <c r="G62" s="605"/>
      <c r="H62" s="605"/>
    </row>
    <row r="63" spans="1:8" ht="12.75">
      <c r="A63" s="359" t="s">
        <v>1</v>
      </c>
      <c r="B63" s="359"/>
      <c r="C63" s="359"/>
      <c r="D63" s="359"/>
      <c r="E63" s="359"/>
      <c r="F63" s="359"/>
      <c r="G63" s="359"/>
      <c r="H63" s="359"/>
    </row>
    <row r="64" ht="12.75">
      <c r="H64" s="360"/>
    </row>
    <row r="65" ht="12.75">
      <c r="H65" s="361"/>
    </row>
  </sheetData>
  <sheetProtection/>
  <mergeCells count="3">
    <mergeCell ref="A1:H1"/>
    <mergeCell ref="A3:H3"/>
    <mergeCell ref="A62:H62"/>
  </mergeCells>
  <printOptions horizontalCentered="1"/>
  <pageMargins left="0" right="0" top="0.75" bottom="0.75" header="0.25" footer="0.25"/>
  <pageSetup horizontalDpi="600" verticalDpi="600" orientation="portrait" scale="85" r:id="rId2"/>
  <headerFooter alignWithMargins="0">
    <oddFooter>&amp;C&amp;14- 10 -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pane xSplit="2" ySplit="15" topLeftCell="C5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77" sqref="D77"/>
    </sheetView>
  </sheetViews>
  <sheetFormatPr defaultColWidth="9.140625" defaultRowHeight="12.75"/>
  <cols>
    <col min="1" max="1" width="4.421875" style="141" customWidth="1"/>
    <col min="2" max="2" width="49.421875" style="136" customWidth="1"/>
    <col min="3" max="3" width="13.421875" style="141" customWidth="1"/>
    <col min="4" max="4" width="12.7109375" style="141" customWidth="1"/>
    <col min="5" max="5" width="8.28125" style="141" customWidth="1"/>
    <col min="6" max="6" width="13.28125" style="141" customWidth="1"/>
    <col min="7" max="16384" width="9.140625" style="136" customWidth="1"/>
  </cols>
  <sheetData>
    <row r="1" spans="1:6" ht="20.25">
      <c r="A1" s="607" t="s">
        <v>180</v>
      </c>
      <c r="B1" s="607"/>
      <c r="C1" s="607"/>
      <c r="D1" s="607"/>
      <c r="E1" s="607"/>
      <c r="F1" s="607"/>
    </row>
    <row r="2" spans="1:6" ht="18.75">
      <c r="A2" s="608" t="s">
        <v>318</v>
      </c>
      <c r="B2" s="608"/>
      <c r="C2" s="608"/>
      <c r="D2" s="608"/>
      <c r="E2" s="608"/>
      <c r="F2" s="608"/>
    </row>
    <row r="3" spans="1:6" ht="18.75">
      <c r="A3" s="608" t="s">
        <v>319</v>
      </c>
      <c r="B3" s="608"/>
      <c r="C3" s="608"/>
      <c r="D3" s="608"/>
      <c r="E3" s="608"/>
      <c r="F3" s="608"/>
    </row>
    <row r="4" spans="1:6" ht="15.75">
      <c r="A4" s="609" t="s">
        <v>618</v>
      </c>
      <c r="B4" s="609"/>
      <c r="C4" s="609"/>
      <c r="D4" s="609"/>
      <c r="E4" s="609"/>
      <c r="F4" s="609"/>
    </row>
    <row r="5" spans="1:6" ht="12">
      <c r="A5" s="606" t="s">
        <v>14</v>
      </c>
      <c r="B5" s="606"/>
      <c r="C5" s="606"/>
      <c r="D5" s="606"/>
      <c r="E5" s="606"/>
      <c r="F5" s="606"/>
    </row>
    <row r="6" spans="1:6" ht="12">
      <c r="A6" s="41"/>
      <c r="B6" s="41"/>
      <c r="C6" s="41"/>
      <c r="D6" s="41"/>
      <c r="E6" s="41"/>
      <c r="F6" s="41"/>
    </row>
    <row r="7" spans="1:6" ht="12">
      <c r="A7" s="41"/>
      <c r="B7" s="41"/>
      <c r="C7" s="41"/>
      <c r="D7" s="41"/>
      <c r="E7" s="41"/>
      <c r="F7" s="41"/>
    </row>
    <row r="8" spans="1:6" ht="12.75">
      <c r="A8" s="6"/>
      <c r="B8" s="158" t="s">
        <v>1</v>
      </c>
      <c r="C8" s="159"/>
      <c r="D8" s="159"/>
      <c r="E8" s="159"/>
      <c r="F8" s="159"/>
    </row>
    <row r="9" spans="1:6" ht="6" customHeight="1">
      <c r="A9" s="155" t="s">
        <v>1</v>
      </c>
      <c r="B9" s="157"/>
      <c r="C9" s="156"/>
      <c r="D9" s="156"/>
      <c r="E9" s="156"/>
      <c r="F9" s="156"/>
    </row>
    <row r="10" spans="1:6" ht="12">
      <c r="A10" s="155"/>
      <c r="B10" s="157"/>
      <c r="C10" s="140" t="s">
        <v>520</v>
      </c>
      <c r="D10" s="139"/>
      <c r="E10" s="258"/>
      <c r="F10" s="156"/>
    </row>
    <row r="11" spans="1:6" ht="12">
      <c r="A11" s="137"/>
      <c r="B11" s="138"/>
      <c r="C11" s="139" t="s">
        <v>355</v>
      </c>
      <c r="D11" s="139" t="s">
        <v>88</v>
      </c>
      <c r="E11" s="136"/>
      <c r="F11" s="136"/>
    </row>
    <row r="12" spans="1:6" ht="12">
      <c r="A12" s="137"/>
      <c r="B12" s="138"/>
      <c r="C12" s="139" t="s">
        <v>289</v>
      </c>
      <c r="D12" s="139" t="s">
        <v>300</v>
      </c>
      <c r="E12" s="139" t="s">
        <v>320</v>
      </c>
      <c r="F12" s="60" t="s">
        <v>87</v>
      </c>
    </row>
    <row r="13" spans="1:6" ht="12">
      <c r="A13" s="610" t="s">
        <v>4</v>
      </c>
      <c r="B13" s="610"/>
      <c r="C13" s="139" t="s">
        <v>5</v>
      </c>
      <c r="D13" s="348">
        <v>42265</v>
      </c>
      <c r="E13" s="139" t="s">
        <v>321</v>
      </c>
      <c r="F13" s="60" t="s">
        <v>89</v>
      </c>
    </row>
    <row r="14" spans="4:5" ht="6" customHeight="1">
      <c r="D14" s="142"/>
      <c r="E14" s="142"/>
    </row>
    <row r="15" spans="1:6" ht="11.25">
      <c r="A15" s="143"/>
      <c r="B15" s="144"/>
      <c r="C15" s="143"/>
      <c r="D15" s="145"/>
      <c r="E15" s="145"/>
      <c r="F15" s="143"/>
    </row>
    <row r="16" spans="1:6" s="149" customFormat="1" ht="12">
      <c r="A16" s="146">
        <v>401</v>
      </c>
      <c r="B16" s="150" t="s">
        <v>259</v>
      </c>
      <c r="C16" s="259">
        <f>+'City Approved'!F14/1000</f>
        <v>5848019.257</v>
      </c>
      <c r="D16" s="259">
        <v>345875.769</v>
      </c>
      <c r="E16" s="260">
        <f>D16/C16</f>
        <v>0.059144088587942206</v>
      </c>
      <c r="F16" s="259">
        <f>C16-D16</f>
        <v>5502143.488</v>
      </c>
    </row>
    <row r="17" spans="1:6" s="149" customFormat="1" ht="3.75" customHeight="1">
      <c r="A17" s="146"/>
      <c r="B17" s="150"/>
      <c r="C17" s="192"/>
      <c r="D17" s="192"/>
      <c r="E17" s="260"/>
      <c r="F17" s="151"/>
    </row>
    <row r="18" spans="1:6" ht="12">
      <c r="A18" s="146">
        <v>402</v>
      </c>
      <c r="B18" s="15" t="s">
        <v>260</v>
      </c>
      <c r="C18" s="151">
        <f>+'City Approved'!F15/1000</f>
        <v>761861.373</v>
      </c>
      <c r="D18" s="151">
        <v>171728.799</v>
      </c>
      <c r="E18" s="160">
        <f>D18/C18</f>
        <v>0.22540688514470728</v>
      </c>
      <c r="F18" s="262">
        <f>C18-D18</f>
        <v>590132.574</v>
      </c>
    </row>
    <row r="19" spans="1:6" s="149" customFormat="1" ht="3.75" customHeight="1">
      <c r="A19" s="146"/>
      <c r="B19" s="150"/>
      <c r="C19" s="192"/>
      <c r="D19" s="192"/>
      <c r="E19" s="260"/>
      <c r="F19" s="151"/>
    </row>
    <row r="20" spans="1:6" s="149" customFormat="1" ht="12">
      <c r="A20" s="146">
        <v>403</v>
      </c>
      <c r="B20" s="87" t="s">
        <v>257</v>
      </c>
      <c r="C20" s="192">
        <f>+'City Approved'!F16/1000</f>
        <v>1403952.074</v>
      </c>
      <c r="D20" s="192">
        <v>59903.269</v>
      </c>
      <c r="E20" s="260">
        <f>D20/C20</f>
        <v>0.04266760248398622</v>
      </c>
      <c r="F20" s="151">
        <f>C20-D20</f>
        <v>1344048.805</v>
      </c>
    </row>
    <row r="21" spans="1:6" s="149" customFormat="1" ht="3.75" customHeight="1">
      <c r="A21" s="146"/>
      <c r="B21" s="87"/>
      <c r="C21" s="192"/>
      <c r="D21" s="192"/>
      <c r="E21" s="260"/>
      <c r="F21" s="151"/>
    </row>
    <row r="22" spans="1:6" ht="12">
      <c r="A22" s="146">
        <v>404</v>
      </c>
      <c r="B22" s="21" t="s">
        <v>258</v>
      </c>
      <c r="C22" s="151">
        <f>+'City Approved'!F17/1000</f>
        <v>4149.878</v>
      </c>
      <c r="D22" s="151">
        <v>430.698</v>
      </c>
      <c r="E22" s="160">
        <f>D22/C22</f>
        <v>0.10378570165195218</v>
      </c>
      <c r="F22" s="262">
        <f>C22-D22</f>
        <v>3719.18</v>
      </c>
    </row>
    <row r="23" spans="1:6" s="149" customFormat="1" ht="3.75" customHeight="1">
      <c r="A23" s="146"/>
      <c r="B23" s="87"/>
      <c r="C23" s="192"/>
      <c r="D23" s="192"/>
      <c r="E23" s="260"/>
      <c r="F23" s="151"/>
    </row>
    <row r="24" spans="1:6" s="149" customFormat="1" ht="12" customHeight="1">
      <c r="A24" s="146">
        <v>406</v>
      </c>
      <c r="B24" s="228" t="s">
        <v>477</v>
      </c>
      <c r="C24" s="192">
        <f>+'City Approved'!F18/1000</f>
        <v>1476587.588</v>
      </c>
      <c r="D24" s="192">
        <v>1456387.046</v>
      </c>
      <c r="E24" s="260">
        <f>D24/C24</f>
        <v>0.9863194420946196</v>
      </c>
      <c r="F24" s="151">
        <f>C24-D24</f>
        <v>20200.5419999999</v>
      </c>
    </row>
    <row r="25" spans="1:6" s="149" customFormat="1" ht="3.75" customHeight="1">
      <c r="A25" s="146"/>
      <c r="B25" s="413"/>
      <c r="C25" s="192"/>
      <c r="D25" s="192"/>
      <c r="E25" s="260"/>
      <c r="F25" s="151"/>
    </row>
    <row r="26" spans="1:6" s="149" customFormat="1" ht="12" customHeight="1">
      <c r="A26" s="146">
        <v>407</v>
      </c>
      <c r="B26" s="413" t="s">
        <v>521</v>
      </c>
      <c r="C26" s="192">
        <f>+'City Approved'!F19/1000</f>
        <v>385508.464</v>
      </c>
      <c r="D26" s="192">
        <v>13042.263</v>
      </c>
      <c r="E26" s="260">
        <f>D26/C26</f>
        <v>0.03383132724162446</v>
      </c>
      <c r="F26" s="151">
        <f>C26-D26</f>
        <v>372466.201</v>
      </c>
    </row>
    <row r="27" spans="1:6" s="149" customFormat="1" ht="3" customHeight="1">
      <c r="A27" s="146"/>
      <c r="B27" s="413"/>
      <c r="C27" s="192"/>
      <c r="D27" s="192"/>
      <c r="E27" s="260"/>
      <c r="F27" s="151"/>
    </row>
    <row r="28" spans="1:6" s="149" customFormat="1" ht="12" customHeight="1">
      <c r="A28" s="146">
        <v>408</v>
      </c>
      <c r="B28" s="413" t="s">
        <v>522</v>
      </c>
      <c r="C28" s="192">
        <f>+'City Approved'!F20/1000</f>
        <v>423370.588</v>
      </c>
      <c r="D28" s="192">
        <v>258145.533</v>
      </c>
      <c r="E28" s="260">
        <f>D28/C28</f>
        <v>0.6097389386907529</v>
      </c>
      <c r="F28" s="151">
        <f>C28-D28</f>
        <v>165225.055</v>
      </c>
    </row>
    <row r="29" spans="1:6" s="149" customFormat="1" ht="3" customHeight="1">
      <c r="A29" s="146"/>
      <c r="B29" s="413"/>
      <c r="C29" s="192"/>
      <c r="D29" s="192"/>
      <c r="E29" s="260"/>
      <c r="F29" s="151"/>
    </row>
    <row r="30" spans="1:6" s="149" customFormat="1" ht="12">
      <c r="A30" s="146">
        <v>415</v>
      </c>
      <c r="B30" s="228" t="s">
        <v>316</v>
      </c>
      <c r="C30" s="192">
        <f>+'City Approved'!F21/1000</f>
        <v>258500.838</v>
      </c>
      <c r="D30" s="192">
        <v>40338.116</v>
      </c>
      <c r="E30" s="260">
        <f>D30/C30</f>
        <v>0.1560463645382844</v>
      </c>
      <c r="F30" s="151">
        <f>C30-D30</f>
        <v>218162.72199999998</v>
      </c>
    </row>
    <row r="31" spans="1:6" s="149" customFormat="1" ht="3.75" customHeight="1">
      <c r="A31" s="146"/>
      <c r="B31" s="72"/>
      <c r="C31" s="192"/>
      <c r="D31" s="192"/>
      <c r="E31" s="260"/>
      <c r="F31" s="151"/>
    </row>
    <row r="32" spans="1:6" ht="12">
      <c r="A32" s="146">
        <v>416</v>
      </c>
      <c r="B32" s="21" t="s">
        <v>317</v>
      </c>
      <c r="C32" s="151">
        <f>+'City Approved'!F22/1000</f>
        <v>27679.995</v>
      </c>
      <c r="D32" s="151">
        <v>5015.767</v>
      </c>
      <c r="E32" s="160">
        <f>D32/C32</f>
        <v>0.18120548793451732</v>
      </c>
      <c r="F32" s="262">
        <f>C32-D32</f>
        <v>22664.228</v>
      </c>
    </row>
    <row r="33" spans="1:6" s="149" customFormat="1" ht="3.75" customHeight="1">
      <c r="A33" s="146"/>
      <c r="B33" s="72"/>
      <c r="C33" s="192"/>
      <c r="D33" s="192"/>
      <c r="E33" s="260"/>
      <c r="F33" s="151"/>
    </row>
    <row r="34" spans="1:6" s="149" customFormat="1" ht="12">
      <c r="A34" s="146">
        <v>421</v>
      </c>
      <c r="B34" s="87" t="s">
        <v>256</v>
      </c>
      <c r="C34" s="192">
        <f>+'City Approved'!F23/1000</f>
        <v>956557.879</v>
      </c>
      <c r="D34" s="192">
        <v>81555.588</v>
      </c>
      <c r="E34" s="260">
        <f>D34/C34</f>
        <v>0.08525943885931862</v>
      </c>
      <c r="F34" s="151">
        <f>C34-D34</f>
        <v>875002.291</v>
      </c>
    </row>
    <row r="35" spans="1:6" s="149" customFormat="1" ht="3.75" customHeight="1">
      <c r="A35" s="146"/>
      <c r="B35" s="87"/>
      <c r="C35" s="192"/>
      <c r="D35" s="192"/>
      <c r="E35" s="260"/>
      <c r="F35" s="151"/>
    </row>
    <row r="36" spans="1:6" ht="12">
      <c r="A36" s="146">
        <v>422</v>
      </c>
      <c r="B36" s="21" t="s">
        <v>261</v>
      </c>
      <c r="C36" s="151">
        <f>+'City Approved'!F24/1000</f>
        <v>21004.246</v>
      </c>
      <c r="D36" s="151">
        <v>5671.661</v>
      </c>
      <c r="E36" s="160">
        <f>D36/C36</f>
        <v>0.2700244988560884</v>
      </c>
      <c r="F36" s="151">
        <f>C36-D36</f>
        <v>15332.585</v>
      </c>
    </row>
    <row r="37" spans="1:6" s="149" customFormat="1" ht="3.75" customHeight="1">
      <c r="A37" s="146"/>
      <c r="B37" s="87"/>
      <c r="C37" s="192"/>
      <c r="D37" s="192"/>
      <c r="E37" s="260"/>
      <c r="F37" s="151"/>
    </row>
    <row r="38" spans="1:6" s="149" customFormat="1" ht="12">
      <c r="A38" s="146">
        <v>423</v>
      </c>
      <c r="B38" s="21" t="s">
        <v>262</v>
      </c>
      <c r="C38" s="192">
        <f>+'City Approved'!F25/1000</f>
        <v>276851.652</v>
      </c>
      <c r="D38" s="192">
        <v>23603.244</v>
      </c>
      <c r="E38" s="260">
        <f>D38/C38</f>
        <v>0.0852559261593281</v>
      </c>
      <c r="F38" s="151">
        <f>C38-D38</f>
        <v>253248.408</v>
      </c>
    </row>
    <row r="39" spans="1:6" s="149" customFormat="1" ht="3.75" customHeight="1">
      <c r="A39" s="146"/>
      <c r="B39" s="21"/>
      <c r="C39" s="192"/>
      <c r="D39" s="192"/>
      <c r="E39" s="260"/>
      <c r="F39" s="151"/>
    </row>
    <row r="40" spans="1:6" ht="12">
      <c r="A40" s="146">
        <v>424</v>
      </c>
      <c r="B40" s="21" t="s">
        <v>263</v>
      </c>
      <c r="C40" s="192">
        <f>+'City Approved'!F26/1000</f>
        <v>230036.818</v>
      </c>
      <c r="D40" s="282">
        <v>112223.799</v>
      </c>
      <c r="E40" s="160">
        <f>D40/C40</f>
        <v>0.4878514664552524</v>
      </c>
      <c r="F40" s="262">
        <f>C40-D40</f>
        <v>117813.019</v>
      </c>
    </row>
    <row r="41" spans="1:6" s="149" customFormat="1" ht="3.75" customHeight="1">
      <c r="A41" s="146"/>
      <c r="B41" s="21"/>
      <c r="C41" s="192"/>
      <c r="D41" s="192"/>
      <c r="E41" s="260"/>
      <c r="F41" s="151"/>
    </row>
    <row r="42" spans="1:6" s="149" customFormat="1" ht="12">
      <c r="A42" s="146">
        <v>435</v>
      </c>
      <c r="B42" s="21" t="s">
        <v>264</v>
      </c>
      <c r="C42" s="192">
        <f>+'City Approved'!F27/1000</f>
        <v>442333.247</v>
      </c>
      <c r="D42" s="192">
        <v>116555.959</v>
      </c>
      <c r="E42" s="260">
        <f>D42/C42</f>
        <v>0.2635025962676507</v>
      </c>
      <c r="F42" s="151">
        <f>C42-D42</f>
        <v>325777.28799999994</v>
      </c>
    </row>
    <row r="43" spans="1:6" s="149" customFormat="1" ht="3.75" customHeight="1">
      <c r="A43" s="146"/>
      <c r="B43" s="21"/>
      <c r="C43" s="192"/>
      <c r="D43" s="192"/>
      <c r="E43" s="260"/>
      <c r="F43" s="151"/>
    </row>
    <row r="44" spans="1:6" ht="12">
      <c r="A44" s="146">
        <v>436</v>
      </c>
      <c r="B44" s="21" t="s">
        <v>265</v>
      </c>
      <c r="C44" s="192">
        <f>+'City Approved'!F28/1000</f>
        <v>305665.661</v>
      </c>
      <c r="D44" s="151">
        <v>118503.196</v>
      </c>
      <c r="E44" s="160">
        <f>D44/C44</f>
        <v>0.3876889396483434</v>
      </c>
      <c r="F44" s="262">
        <f>C44-D44</f>
        <v>187162.46500000003</v>
      </c>
    </row>
    <row r="45" spans="1:6" s="149" customFormat="1" ht="3.75" customHeight="1">
      <c r="A45" s="146"/>
      <c r="B45" s="21"/>
      <c r="C45" s="192"/>
      <c r="D45" s="192"/>
      <c r="E45" s="260"/>
      <c r="F45" s="151"/>
    </row>
    <row r="46" spans="1:6" ht="12">
      <c r="A46" s="146">
        <v>438</v>
      </c>
      <c r="B46" s="21" t="s">
        <v>266</v>
      </c>
      <c r="C46" s="192">
        <f>+'City Approved'!F29/1000</f>
        <v>1147075.717</v>
      </c>
      <c r="D46" s="151">
        <v>406197.151</v>
      </c>
      <c r="E46" s="160">
        <f>D46/C46</f>
        <v>0.3541153778953199</v>
      </c>
      <c r="F46" s="262">
        <f>C46-D46</f>
        <v>740878.5659999999</v>
      </c>
    </row>
    <row r="47" spans="1:6" s="149" customFormat="1" ht="3.75" customHeight="1">
      <c r="A47" s="146"/>
      <c r="B47" s="21"/>
      <c r="C47" s="192"/>
      <c r="D47" s="192"/>
      <c r="E47" s="260"/>
      <c r="F47" s="151"/>
    </row>
    <row r="48" spans="1:6" s="149" customFormat="1" ht="12" customHeight="1">
      <c r="A48" s="146">
        <v>439</v>
      </c>
      <c r="B48" s="21" t="s">
        <v>267</v>
      </c>
      <c r="C48" s="192">
        <f>+'City Approved'!F30/1000</f>
        <v>211668.288</v>
      </c>
      <c r="D48" s="192">
        <v>18725.168</v>
      </c>
      <c r="E48" s="260">
        <f>D48/C48</f>
        <v>0.0884646830043809</v>
      </c>
      <c r="F48" s="151">
        <f>C48-D48</f>
        <v>192943.12</v>
      </c>
    </row>
    <row r="49" spans="1:6" s="149" customFormat="1" ht="3.75" customHeight="1">
      <c r="A49" s="146"/>
      <c r="B49" s="21"/>
      <c r="C49" s="192"/>
      <c r="D49" s="192"/>
      <c r="E49" s="260"/>
      <c r="F49" s="151"/>
    </row>
    <row r="50" spans="1:6" ht="12">
      <c r="A50" s="146">
        <v>440</v>
      </c>
      <c r="B50" s="21" t="s">
        <v>268</v>
      </c>
      <c r="C50" s="192">
        <f>+'City Approved'!F31/1000</f>
        <v>274321.108</v>
      </c>
      <c r="D50" s="151">
        <v>127233.189</v>
      </c>
      <c r="E50" s="160">
        <f>D50/C50</f>
        <v>0.4638111515647567</v>
      </c>
      <c r="F50" s="262">
        <f>C50-D50</f>
        <v>147087.919</v>
      </c>
    </row>
    <row r="51" spans="1:6" s="149" customFormat="1" ht="3.75" customHeight="1">
      <c r="A51" s="146"/>
      <c r="B51" s="21"/>
      <c r="C51" s="192"/>
      <c r="D51" s="192"/>
      <c r="E51" s="260"/>
      <c r="F51" s="151"/>
    </row>
    <row r="52" spans="1:6" ht="12">
      <c r="A52" s="146">
        <v>442</v>
      </c>
      <c r="B52" s="21" t="s">
        <v>322</v>
      </c>
      <c r="C52" s="192">
        <f>+'City Approved'!F32/1000</f>
        <v>335713.885</v>
      </c>
      <c r="D52" s="151">
        <v>0</v>
      </c>
      <c r="E52" s="160">
        <f>D52/C52</f>
        <v>0</v>
      </c>
      <c r="F52" s="262">
        <f>C52-D52</f>
        <v>335713.885</v>
      </c>
    </row>
    <row r="53" spans="1:6" s="149" customFormat="1" ht="3.75" customHeight="1">
      <c r="A53" s="146"/>
      <c r="B53" s="21"/>
      <c r="C53" s="192"/>
      <c r="D53" s="235"/>
      <c r="E53" s="260"/>
      <c r="F53" s="151"/>
    </row>
    <row r="54" spans="1:6" ht="12">
      <c r="A54" s="146">
        <v>444</v>
      </c>
      <c r="B54" s="21" t="s">
        <v>270</v>
      </c>
      <c r="C54" s="192">
        <f>+'City Approved'!F33/1000</f>
        <v>498066.494</v>
      </c>
      <c r="D54" s="282">
        <v>227964.947</v>
      </c>
      <c r="E54" s="160">
        <f>D54/C54</f>
        <v>0.4576998247145691</v>
      </c>
      <c r="F54" s="262">
        <f>C54-D54</f>
        <v>270101.547</v>
      </c>
    </row>
    <row r="55" spans="1:6" s="149" customFormat="1" ht="3.75" customHeight="1">
      <c r="A55" s="146"/>
      <c r="B55" s="21"/>
      <c r="C55" s="192"/>
      <c r="D55" s="192"/>
      <c r="E55" s="260"/>
      <c r="F55" s="151"/>
    </row>
    <row r="56" spans="1:6" s="149" customFormat="1" ht="12">
      <c r="A56" s="146">
        <v>453</v>
      </c>
      <c r="B56" s="21" t="s">
        <v>272</v>
      </c>
      <c r="C56" s="192">
        <f>+'City Approved'!F34/1000</f>
        <v>175026.691</v>
      </c>
      <c r="D56" s="192">
        <v>29698.666</v>
      </c>
      <c r="E56" s="260">
        <f>D56/C56</f>
        <v>0.16968078314409774</v>
      </c>
      <c r="F56" s="151">
        <f>C56-D56</f>
        <v>145328.025</v>
      </c>
    </row>
    <row r="57" spans="1:6" s="149" customFormat="1" ht="3.75" customHeight="1">
      <c r="A57" s="146"/>
      <c r="B57" s="21"/>
      <c r="C57" s="192"/>
      <c r="D57" s="192"/>
      <c r="E57" s="260"/>
      <c r="F57" s="151"/>
    </row>
    <row r="58" spans="1:6" ht="12">
      <c r="A58" s="146">
        <v>454</v>
      </c>
      <c r="B58" s="21" t="s">
        <v>271</v>
      </c>
      <c r="C58" s="192">
        <f>+'City Approved'!F35/1000</f>
        <v>164069.332</v>
      </c>
      <c r="D58" s="151">
        <v>77905.012</v>
      </c>
      <c r="E58" s="160">
        <f>D58/C58</f>
        <v>0.47482982377230626</v>
      </c>
      <c r="F58" s="262">
        <f>C58-D58</f>
        <v>86164.31999999999</v>
      </c>
    </row>
    <row r="59" spans="1:6" s="149" customFormat="1" ht="3.75" customHeight="1">
      <c r="A59" s="146"/>
      <c r="B59" s="21"/>
      <c r="C59" s="192"/>
      <c r="D59" s="192"/>
      <c r="E59" s="260"/>
      <c r="F59" s="151"/>
    </row>
    <row r="60" spans="1:6" s="149" customFormat="1" ht="12">
      <c r="A60" s="146">
        <v>461</v>
      </c>
      <c r="B60" s="21" t="s">
        <v>273</v>
      </c>
      <c r="C60" s="192">
        <f>+'City Approved'!F36/1000</f>
        <v>3043666.537</v>
      </c>
      <c r="D60" s="235">
        <v>238342.93368000002</v>
      </c>
      <c r="E60" s="260">
        <f>D60/C60</f>
        <v>0.07830783391761553</v>
      </c>
      <c r="F60" s="151">
        <f>C60-D60</f>
        <v>2805323.6033199998</v>
      </c>
    </row>
    <row r="61" spans="1:6" s="149" customFormat="1" ht="3.75" customHeight="1">
      <c r="A61" s="146"/>
      <c r="B61" s="21"/>
      <c r="C61" s="192"/>
      <c r="D61" s="192"/>
      <c r="E61" s="260"/>
      <c r="F61" s="151"/>
    </row>
    <row r="62" spans="1:6" ht="12">
      <c r="A62" s="146">
        <v>470</v>
      </c>
      <c r="B62" s="21" t="s">
        <v>275</v>
      </c>
      <c r="C62" s="192">
        <f>+'City Approved'!F37/1000</f>
        <v>909861.953</v>
      </c>
      <c r="D62" s="151">
        <v>707591.044</v>
      </c>
      <c r="E62" s="160">
        <f>D62/C62</f>
        <v>0.7776905514808354</v>
      </c>
      <c r="F62" s="262">
        <f>C62-D62</f>
        <v>202270.90899999999</v>
      </c>
    </row>
    <row r="63" spans="1:6" ht="3.75" customHeight="1">
      <c r="A63" s="146"/>
      <c r="B63" s="21"/>
      <c r="C63" s="151"/>
      <c r="D63" s="257"/>
      <c r="E63" s="160"/>
      <c r="F63" s="262"/>
    </row>
    <row r="64" spans="1:6" ht="12">
      <c r="A64" s="146">
        <v>472</v>
      </c>
      <c r="B64" s="21" t="s">
        <v>478</v>
      </c>
      <c r="C64" s="192">
        <f>+'City Approved'!F38/1000</f>
        <v>652495.759</v>
      </c>
      <c r="D64" s="151">
        <v>425446.223</v>
      </c>
      <c r="E64" s="160">
        <f>D64/C64</f>
        <v>0.6520291007745845</v>
      </c>
      <c r="F64" s="262">
        <f>C64-D64</f>
        <v>227049.53599999996</v>
      </c>
    </row>
    <row r="65" spans="1:6" ht="3.75" customHeight="1">
      <c r="A65" s="146"/>
      <c r="B65" s="21"/>
      <c r="C65" s="151"/>
      <c r="D65" s="257"/>
      <c r="E65" s="160"/>
      <c r="F65" s="262"/>
    </row>
    <row r="66" spans="1:6" ht="12">
      <c r="A66" s="146">
        <v>474</v>
      </c>
      <c r="B66" s="21" t="s">
        <v>274</v>
      </c>
      <c r="C66" s="192">
        <f>+'City Approved'!F39/1000</f>
        <v>66690.57</v>
      </c>
      <c r="D66" s="151">
        <v>20717.411</v>
      </c>
      <c r="E66" s="160">
        <f>D66/C66</f>
        <v>0.31064978152083567</v>
      </c>
      <c r="F66" s="262">
        <f>C66-D66</f>
        <v>45973.15900000001</v>
      </c>
    </row>
    <row r="67" spans="1:6" s="149" customFormat="1" ht="3.75" customHeight="1">
      <c r="A67" s="146"/>
      <c r="B67" s="21"/>
      <c r="C67" s="192"/>
      <c r="D67" s="192"/>
      <c r="E67" s="260"/>
      <c r="F67" s="151"/>
    </row>
    <row r="68" spans="1:6" s="149" customFormat="1" ht="3.75" customHeight="1" hidden="1">
      <c r="A68" s="153"/>
      <c r="B68" s="21"/>
      <c r="C68" s="192"/>
      <c r="D68" s="192"/>
      <c r="E68" s="260"/>
      <c r="F68" s="151"/>
    </row>
    <row r="69" spans="1:6" s="149" customFormat="1" ht="12.75" customHeight="1" hidden="1">
      <c r="A69" s="263" t="s">
        <v>311</v>
      </c>
      <c r="B69" s="152" t="s">
        <v>323</v>
      </c>
      <c r="C69" s="264">
        <v>0</v>
      </c>
      <c r="D69" s="264">
        <v>0</v>
      </c>
      <c r="E69" s="265">
        <v>0</v>
      </c>
      <c r="F69" s="261">
        <v>0</v>
      </c>
    </row>
    <row r="70" spans="1:6" s="149" customFormat="1" ht="6" customHeight="1">
      <c r="A70" s="153"/>
      <c r="B70" s="21"/>
      <c r="C70" s="192"/>
      <c r="D70" s="192"/>
      <c r="E70" s="260"/>
      <c r="F70" s="151"/>
    </row>
    <row r="71" spans="1:6" s="149" customFormat="1" ht="15" customHeight="1">
      <c r="A71" s="266" t="s">
        <v>622</v>
      </c>
      <c r="B71" s="267"/>
      <c r="C71" s="268">
        <f>SUM(C16:C69)</f>
        <v>20300735.892</v>
      </c>
      <c r="D71" s="269">
        <f>SUM(D16:D69)</f>
        <v>5088802.45168</v>
      </c>
      <c r="E71" s="270">
        <f>D71/C71</f>
        <v>0.250670836700327</v>
      </c>
      <c r="F71" s="269">
        <f>SUM(F16:F67)</f>
        <v>15211933.440319998</v>
      </c>
    </row>
    <row r="72" spans="1:6" s="149" customFormat="1" ht="3.75" customHeight="1">
      <c r="A72" s="146"/>
      <c r="B72" s="152"/>
      <c r="C72" s="151"/>
      <c r="D72" s="154"/>
      <c r="E72" s="154"/>
      <c r="F72" s="147"/>
    </row>
    <row r="73" spans="1:6" s="149" customFormat="1" ht="12">
      <c r="A73" s="146">
        <v>481</v>
      </c>
      <c r="B73" s="21" t="s">
        <v>324</v>
      </c>
      <c r="C73" s="192">
        <f>+'City Approved'!F44/1000</f>
        <v>1011695.696</v>
      </c>
      <c r="D73" s="192">
        <v>126839.95</v>
      </c>
      <c r="E73" s="271">
        <f>D73/C73</f>
        <v>0.1253736182742444</v>
      </c>
      <c r="F73" s="187">
        <f>+C73-D73</f>
        <v>884855.746</v>
      </c>
    </row>
    <row r="74" spans="1:6" s="149" customFormat="1" ht="4.5" customHeight="1">
      <c r="A74" s="146"/>
      <c r="B74" s="21"/>
      <c r="C74" s="192"/>
      <c r="D74" s="192"/>
      <c r="E74" s="192"/>
      <c r="F74" s="187"/>
    </row>
    <row r="75" spans="1:6" s="149" customFormat="1" ht="12" customHeight="1" hidden="1">
      <c r="A75" s="263" t="s">
        <v>311</v>
      </c>
      <c r="B75" s="152" t="s">
        <v>323</v>
      </c>
      <c r="C75" s="264">
        <v>0</v>
      </c>
      <c r="D75" s="264"/>
      <c r="E75" s="265">
        <v>0</v>
      </c>
      <c r="F75" s="261">
        <v>0</v>
      </c>
    </row>
    <row r="76" spans="1:6" s="149" customFormat="1" ht="4.5" customHeight="1" hidden="1">
      <c r="A76" s="146"/>
      <c r="B76" s="21"/>
      <c r="C76" s="192"/>
      <c r="D76" s="192"/>
      <c r="E76" s="192"/>
      <c r="F76" s="187"/>
    </row>
    <row r="77" spans="1:6" ht="12">
      <c r="A77" s="146">
        <v>482</v>
      </c>
      <c r="B77" s="21" t="s">
        <v>9</v>
      </c>
      <c r="C77" s="192">
        <f>+'City Approved'!F45/1000</f>
        <v>606385.396</v>
      </c>
      <c r="D77" s="282">
        <v>98961.205</v>
      </c>
      <c r="E77" s="160">
        <f>D77/C77</f>
        <v>0.1631985296031107</v>
      </c>
      <c r="F77" s="272">
        <f>+C77-D77</f>
        <v>507424.19099999993</v>
      </c>
    </row>
    <row r="78" spans="1:6" s="149" customFormat="1" ht="3.75" customHeight="1">
      <c r="A78" s="146"/>
      <c r="B78" s="21"/>
      <c r="C78" s="192"/>
      <c r="D78" s="192"/>
      <c r="E78" s="192"/>
      <c r="F78" s="187"/>
    </row>
    <row r="79" spans="1:6" s="149" customFormat="1" ht="15" customHeight="1">
      <c r="A79" s="273" t="s">
        <v>325</v>
      </c>
      <c r="B79" s="274"/>
      <c r="C79" s="275">
        <f>SUM(C73:C78)</f>
        <v>1618081.092</v>
      </c>
      <c r="D79" s="275">
        <f>SUM(D73:D78)</f>
        <v>225801.155</v>
      </c>
      <c r="E79" s="276">
        <f>D79/C79</f>
        <v>0.13954872602886828</v>
      </c>
      <c r="F79" s="275">
        <f>SUM(F73:F77)</f>
        <v>1392279.937</v>
      </c>
    </row>
    <row r="80" spans="1:6" ht="3.75" customHeight="1" thickBot="1">
      <c r="A80" s="146"/>
      <c r="B80" s="87"/>
      <c r="C80" s="58"/>
      <c r="D80" s="148"/>
      <c r="E80" s="148"/>
      <c r="F80" s="58"/>
    </row>
    <row r="81" spans="1:6" ht="15" customHeight="1" thickBot="1" thickTop="1">
      <c r="A81" s="277" t="s">
        <v>246</v>
      </c>
      <c r="B81" s="278"/>
      <c r="C81" s="279">
        <f>+C79+C71</f>
        <v>21918816.984</v>
      </c>
      <c r="D81" s="279">
        <f>+D79+D71</f>
        <v>5314603.60668</v>
      </c>
      <c r="E81" s="280">
        <f>+D81/C81</f>
        <v>0.242467630007563</v>
      </c>
      <c r="F81" s="281">
        <f>+F79+F71</f>
        <v>16604213.377319999</v>
      </c>
    </row>
    <row r="82" spans="1:6" ht="12.75" thickTop="1">
      <c r="A82" s="146"/>
      <c r="B82" s="21"/>
      <c r="C82" s="151"/>
      <c r="D82" s="297"/>
      <c r="E82" s="160"/>
      <c r="F82" s="262"/>
    </row>
    <row r="83" spans="1:6" ht="12">
      <c r="A83" s="146"/>
      <c r="B83" s="21"/>
      <c r="C83" s="151"/>
      <c r="D83" s="298"/>
      <c r="E83" s="160"/>
      <c r="F83" s="262"/>
    </row>
    <row r="84" spans="1:6" ht="12">
      <c r="A84" s="146"/>
      <c r="B84" s="21"/>
      <c r="C84" s="151"/>
      <c r="D84" s="257"/>
      <c r="E84" s="160"/>
      <c r="F84" s="262"/>
    </row>
    <row r="85" spans="1:6" ht="15" customHeight="1">
      <c r="A85" s="283" t="s">
        <v>326</v>
      </c>
      <c r="B85" s="284"/>
      <c r="C85" s="84"/>
      <c r="D85" s="285"/>
      <c r="E85" s="286"/>
      <c r="F85" s="287"/>
    </row>
    <row r="86" spans="1:6" ht="15" customHeight="1">
      <c r="A86" s="288" t="s">
        <v>327</v>
      </c>
      <c r="B86" s="289"/>
      <c r="C86" s="529">
        <f>+C16+C20+C30+C34+C38+C42+C48+C56+C60+C73+C26</f>
        <v>14013780.623000002</v>
      </c>
      <c r="D86" s="290">
        <f>+D16+D20+D30+D34+D38+D42+D48+D56+D60+D73+D26</f>
        <v>1094480.9256799999</v>
      </c>
      <c r="E86" s="512">
        <f>+E16+E20+E30+E34+E38+E42+E48+E56+E60+E73+E26</f>
        <v>1.1875342624784733</v>
      </c>
      <c r="F86" s="291">
        <f>+F16+F20+F30+F34+F38+F42+F48+F56+F60+F73+F26</f>
        <v>12919299.697319997</v>
      </c>
    </row>
    <row r="87" spans="1:6" ht="15" customHeight="1">
      <c r="A87" s="292" t="s">
        <v>290</v>
      </c>
      <c r="B87" s="293"/>
      <c r="C87" s="290">
        <f>+C18+C22+C32+C36+C40+C44+C46+C50+C52+C54+C58+C62+C64+C66+C77+C24++C28</f>
        <v>7905036.361</v>
      </c>
      <c r="D87" s="290">
        <f>+D18+D22+D32+D36+D40+D44+D46+D50+D52+D54+D58+D62+D64+D66+D77+D24++D28</f>
        <v>4220122.681</v>
      </c>
      <c r="E87" s="512">
        <f>+D87/C87</f>
        <v>0.5338524060205775</v>
      </c>
      <c r="F87" s="291">
        <f>+F18+F22+F32+F36+F40+F44+F46+F50+F52+F54+F58+F62+F64+F66+F77+F24++F28</f>
        <v>3684913.68</v>
      </c>
    </row>
    <row r="88" spans="1:6" ht="15" customHeight="1" thickBot="1">
      <c r="A88" s="294" t="s">
        <v>246</v>
      </c>
      <c r="B88" s="295"/>
      <c r="C88" s="412">
        <f>SUM(C86:C87)</f>
        <v>21918816.984</v>
      </c>
      <c r="D88" s="412">
        <f>SUM(D86:D87)</f>
        <v>5314603.60668</v>
      </c>
      <c r="E88" s="513">
        <f>+D88/C88</f>
        <v>0.242467630007563</v>
      </c>
      <c r="F88" s="296">
        <f>SUM(F86:F87)</f>
        <v>16604213.377319997</v>
      </c>
    </row>
    <row r="89" spans="1:6" ht="13.5" thickTop="1">
      <c r="A89" s="146"/>
      <c r="B89" s="161"/>
      <c r="C89" s="151"/>
      <c r="D89" s="151"/>
      <c r="E89" s="151"/>
      <c r="F89" s="136"/>
    </row>
  </sheetData>
  <sheetProtection/>
  <mergeCells count="6">
    <mergeCell ref="A5:F5"/>
    <mergeCell ref="A1:F1"/>
    <mergeCell ref="A2:F2"/>
    <mergeCell ref="A3:F3"/>
    <mergeCell ref="A4:F4"/>
    <mergeCell ref="A13:B1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&amp;C&amp;12- 11 -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5" sqref="E1:E16384"/>
    </sheetView>
  </sheetViews>
  <sheetFormatPr defaultColWidth="9.140625" defaultRowHeight="12.75"/>
  <cols>
    <col min="1" max="1" width="3.8515625" style="174" customWidth="1"/>
    <col min="2" max="2" width="43.140625" style="174" customWidth="1"/>
    <col min="3" max="3" width="13.421875" style="174" customWidth="1"/>
    <col min="4" max="4" width="17.140625" style="174" customWidth="1"/>
    <col min="5" max="5" width="15.7109375" style="174" customWidth="1"/>
    <col min="6" max="16384" width="9.140625" style="416" customWidth="1"/>
  </cols>
  <sheetData>
    <row r="1" spans="1:5" s="414" customFormat="1" ht="20.25">
      <c r="A1" s="590" t="s">
        <v>84</v>
      </c>
      <c r="B1" s="590"/>
      <c r="C1" s="590"/>
      <c r="D1" s="590"/>
      <c r="E1" s="590"/>
    </row>
    <row r="2" spans="1:5" s="414" customFormat="1" ht="18.75">
      <c r="A2" s="608" t="s">
        <v>181</v>
      </c>
      <c r="B2" s="608"/>
      <c r="C2" s="608"/>
      <c r="D2" s="608"/>
      <c r="E2" s="608"/>
    </row>
    <row r="3" spans="1:5" s="414" customFormat="1" ht="15">
      <c r="A3" s="594" t="s">
        <v>618</v>
      </c>
      <c r="B3" s="594"/>
      <c r="C3" s="594"/>
      <c r="D3" s="594"/>
      <c r="E3" s="594"/>
    </row>
    <row r="4" spans="1:5" s="414" customFormat="1" ht="12.75">
      <c r="A4" s="611" t="s">
        <v>14</v>
      </c>
      <c r="B4" s="611"/>
      <c r="C4" s="611"/>
      <c r="D4" s="611"/>
      <c r="E4" s="611"/>
    </row>
    <row r="5" spans="1:5" s="414" customFormat="1" ht="12.75">
      <c r="A5" s="4"/>
      <c r="B5" s="4"/>
      <c r="C5" s="4"/>
      <c r="D5" s="4"/>
      <c r="E5" s="4"/>
    </row>
    <row r="6" spans="1:5" s="414" customFormat="1" ht="12.75">
      <c r="A6" s="162"/>
      <c r="B6" s="162"/>
      <c r="C6" s="108"/>
      <c r="D6" s="108"/>
      <c r="E6" s="108"/>
    </row>
    <row r="7" spans="1:5" s="414" customFormat="1" ht="6" customHeight="1">
      <c r="A7" s="164"/>
      <c r="B7" s="164"/>
      <c r="C7" s="527"/>
      <c r="D7" s="165"/>
      <c r="E7" s="165"/>
    </row>
    <row r="8" spans="1:5" s="414" customFormat="1" ht="12.75">
      <c r="A8" s="572"/>
      <c r="B8" s="572"/>
      <c r="C8" s="167" t="s">
        <v>520</v>
      </c>
      <c r="D8" s="354"/>
      <c r="E8" s="354"/>
    </row>
    <row r="9" spans="1:5" s="417" customFormat="1" ht="12.75">
      <c r="A9" s="300"/>
      <c r="B9" s="300"/>
      <c r="C9" s="167" t="s">
        <v>291</v>
      </c>
      <c r="D9" s="139" t="s">
        <v>88</v>
      </c>
      <c r="E9" s="167" t="s">
        <v>87</v>
      </c>
    </row>
    <row r="10" spans="1:5" s="417" customFormat="1" ht="12.75">
      <c r="A10" s="169"/>
      <c r="B10" s="315" t="s">
        <v>182</v>
      </c>
      <c r="C10" s="167" t="s">
        <v>5</v>
      </c>
      <c r="D10" s="167" t="s">
        <v>300</v>
      </c>
      <c r="E10" s="167" t="s">
        <v>89</v>
      </c>
    </row>
    <row r="11" spans="1:5" s="417" customFormat="1" ht="6" customHeight="1">
      <c r="A11" s="170"/>
      <c r="B11" s="170"/>
      <c r="C11" s="171"/>
      <c r="D11" s="171"/>
      <c r="E11" s="171"/>
    </row>
    <row r="12" spans="1:5" s="414" customFormat="1" ht="12.75">
      <c r="A12" s="162"/>
      <c r="B12" s="162"/>
      <c r="C12" s="354"/>
      <c r="D12" s="108"/>
      <c r="E12" s="108"/>
    </row>
    <row r="13" spans="1:5" s="414" customFormat="1" ht="12.75">
      <c r="A13" s="173" t="s">
        <v>183</v>
      </c>
      <c r="B13" s="173" t="s">
        <v>184</v>
      </c>
      <c r="C13" s="313">
        <v>707885.91</v>
      </c>
      <c r="D13" s="313">
        <v>102327.89</v>
      </c>
      <c r="E13" s="312">
        <f aca="true" t="shared" si="0" ref="E13:E41">C13-D13</f>
        <v>605558.02</v>
      </c>
    </row>
    <row r="14" spans="1:5" s="414" customFormat="1" ht="12.75">
      <c r="A14" s="173" t="s">
        <v>185</v>
      </c>
      <c r="B14" s="173" t="s">
        <v>186</v>
      </c>
      <c r="C14" s="163">
        <v>8366030.77695</v>
      </c>
      <c r="D14" s="163">
        <v>500078.084</v>
      </c>
      <c r="E14" s="163">
        <f t="shared" si="0"/>
        <v>7865952.69295</v>
      </c>
    </row>
    <row r="15" spans="1:5" s="414" customFormat="1" ht="12.75">
      <c r="A15" s="173" t="s">
        <v>187</v>
      </c>
      <c r="B15" s="173" t="s">
        <v>188</v>
      </c>
      <c r="C15" s="163">
        <v>1540.06202</v>
      </c>
      <c r="D15" s="163">
        <v>369.034</v>
      </c>
      <c r="E15" s="163">
        <f t="shared" si="0"/>
        <v>1171.0280200000002</v>
      </c>
    </row>
    <row r="16" spans="1:5" s="414" customFormat="1" ht="12.75">
      <c r="A16" s="173" t="s">
        <v>189</v>
      </c>
      <c r="B16" s="173" t="s">
        <v>190</v>
      </c>
      <c r="C16" s="163">
        <v>515905.26675</v>
      </c>
      <c r="D16" s="163">
        <v>24020.758</v>
      </c>
      <c r="E16" s="163">
        <f t="shared" si="0"/>
        <v>491884.50875000004</v>
      </c>
    </row>
    <row r="17" spans="1:5" s="414" customFormat="1" ht="12.75">
      <c r="A17" s="173" t="s">
        <v>191</v>
      </c>
      <c r="B17" s="173" t="s">
        <v>192</v>
      </c>
      <c r="C17" s="163">
        <v>440988.987</v>
      </c>
      <c r="D17" s="163">
        <v>112356.475</v>
      </c>
      <c r="E17" s="163">
        <f t="shared" si="0"/>
        <v>328632.512</v>
      </c>
    </row>
    <row r="18" spans="1:5" s="414" customFormat="1" ht="12.75">
      <c r="A18" s="173" t="s">
        <v>193</v>
      </c>
      <c r="B18" s="173" t="s">
        <v>194</v>
      </c>
      <c r="C18" s="163">
        <v>2000</v>
      </c>
      <c r="D18" s="163">
        <v>251.924</v>
      </c>
      <c r="E18" s="163">
        <f t="shared" si="0"/>
        <v>1748.076</v>
      </c>
    </row>
    <row r="19" spans="1:5" s="414" customFormat="1" ht="12.75">
      <c r="A19" s="173" t="s">
        <v>195</v>
      </c>
      <c r="B19" s="173" t="s">
        <v>196</v>
      </c>
      <c r="C19" s="163">
        <v>645.669</v>
      </c>
      <c r="D19" s="163">
        <v>98.374</v>
      </c>
      <c r="E19" s="163">
        <f t="shared" si="0"/>
        <v>547.295</v>
      </c>
    </row>
    <row r="20" spans="1:5" s="414" customFormat="1" ht="12.75">
      <c r="A20" s="173" t="s">
        <v>197</v>
      </c>
      <c r="B20" s="173" t="s">
        <v>198</v>
      </c>
      <c r="C20" s="163">
        <v>13124.781</v>
      </c>
      <c r="D20" s="163">
        <v>3835.282</v>
      </c>
      <c r="E20" s="163">
        <f t="shared" si="0"/>
        <v>9289.499</v>
      </c>
    </row>
    <row r="21" spans="1:5" s="414" customFormat="1" ht="12.75">
      <c r="A21" s="173" t="s">
        <v>199</v>
      </c>
      <c r="B21" s="173" t="s">
        <v>200</v>
      </c>
      <c r="C21" s="163">
        <v>93.705</v>
      </c>
      <c r="D21" s="163">
        <v>9.7</v>
      </c>
      <c r="E21" s="163">
        <f t="shared" si="0"/>
        <v>84.005</v>
      </c>
    </row>
    <row r="22" spans="1:5" s="414" customFormat="1" ht="12.75">
      <c r="A22" s="173" t="s">
        <v>201</v>
      </c>
      <c r="B22" s="173" t="s">
        <v>202</v>
      </c>
      <c r="C22" s="163">
        <v>27617.394</v>
      </c>
      <c r="D22" s="163">
        <v>541.398</v>
      </c>
      <c r="E22" s="163">
        <f t="shared" si="0"/>
        <v>27075.996</v>
      </c>
    </row>
    <row r="23" spans="1:5" s="414" customFormat="1" ht="12.75">
      <c r="A23" s="173" t="s">
        <v>203</v>
      </c>
      <c r="B23" s="173" t="s">
        <v>204</v>
      </c>
      <c r="C23" s="163">
        <v>9865.115</v>
      </c>
      <c r="D23" s="163">
        <v>905.569</v>
      </c>
      <c r="E23" s="163">
        <f t="shared" si="0"/>
        <v>8959.546</v>
      </c>
    </row>
    <row r="24" spans="1:5" s="414" customFormat="1" ht="12.75">
      <c r="A24" s="173" t="s">
        <v>205</v>
      </c>
      <c r="B24" s="173" t="s">
        <v>206</v>
      </c>
      <c r="C24" s="163">
        <v>5846.935</v>
      </c>
      <c r="D24" s="190">
        <v>54259.115</v>
      </c>
      <c r="E24" s="163">
        <f t="shared" si="0"/>
        <v>-48412.18</v>
      </c>
    </row>
    <row r="25" spans="1:5" s="414" customFormat="1" ht="12.75">
      <c r="A25" s="173" t="s">
        <v>207</v>
      </c>
      <c r="B25" s="173" t="s">
        <v>208</v>
      </c>
      <c r="C25" s="163">
        <v>75</v>
      </c>
      <c r="D25" s="20">
        <v>0</v>
      </c>
      <c r="E25" s="163">
        <f t="shared" si="0"/>
        <v>75</v>
      </c>
    </row>
    <row r="26" spans="1:5" s="414" customFormat="1" ht="12.75">
      <c r="A26" s="173" t="s">
        <v>209</v>
      </c>
      <c r="B26" s="242" t="s">
        <v>210</v>
      </c>
      <c r="C26" s="163">
        <v>0.428</v>
      </c>
      <c r="D26" s="20">
        <v>0</v>
      </c>
      <c r="E26" s="163">
        <f t="shared" si="0"/>
        <v>0.428</v>
      </c>
    </row>
    <row r="27" spans="1:5" s="414" customFormat="1" ht="12.75">
      <c r="A27" s="241" t="s">
        <v>310</v>
      </c>
      <c r="B27" s="242" t="s">
        <v>463</v>
      </c>
      <c r="C27" s="20">
        <v>0</v>
      </c>
      <c r="D27" s="190">
        <v>14.986</v>
      </c>
      <c r="E27" s="190">
        <f t="shared" si="0"/>
        <v>-14.986</v>
      </c>
    </row>
    <row r="28" spans="1:5" s="414" customFormat="1" ht="12.75">
      <c r="A28" s="242" t="s">
        <v>211</v>
      </c>
      <c r="B28" s="242" t="s">
        <v>334</v>
      </c>
      <c r="C28" s="163">
        <v>409</v>
      </c>
      <c r="D28" s="163">
        <v>78</v>
      </c>
      <c r="E28" s="163">
        <f t="shared" si="0"/>
        <v>331</v>
      </c>
    </row>
    <row r="29" spans="1:5" s="414" customFormat="1" ht="12.75">
      <c r="A29" s="173" t="s">
        <v>212</v>
      </c>
      <c r="B29" s="173" t="s">
        <v>213</v>
      </c>
      <c r="C29" s="163">
        <v>22923</v>
      </c>
      <c r="D29" s="20">
        <v>0</v>
      </c>
      <c r="E29" s="163">
        <f t="shared" si="0"/>
        <v>22923</v>
      </c>
    </row>
    <row r="30" spans="1:5" s="414" customFormat="1" ht="12.75">
      <c r="A30" s="173" t="s">
        <v>214</v>
      </c>
      <c r="B30" s="173" t="s">
        <v>328</v>
      </c>
      <c r="C30" s="163">
        <v>1375.501</v>
      </c>
      <c r="D30" s="163">
        <v>66.975</v>
      </c>
      <c r="E30" s="163">
        <f t="shared" si="0"/>
        <v>1308.526</v>
      </c>
    </row>
    <row r="31" spans="1:5" s="414" customFormat="1" ht="12.75">
      <c r="A31" s="173" t="s">
        <v>215</v>
      </c>
      <c r="B31" s="173" t="s">
        <v>216</v>
      </c>
      <c r="C31" s="163">
        <v>362.231</v>
      </c>
      <c r="D31" s="163">
        <v>9.635</v>
      </c>
      <c r="E31" s="163">
        <f t="shared" si="0"/>
        <v>352.596</v>
      </c>
    </row>
    <row r="32" spans="1:5" s="414" customFormat="1" ht="12.75">
      <c r="A32" s="173" t="s">
        <v>217</v>
      </c>
      <c r="B32" s="173" t="s">
        <v>218</v>
      </c>
      <c r="C32" s="163">
        <v>2122879.131</v>
      </c>
      <c r="D32" s="163">
        <v>139225.827</v>
      </c>
      <c r="E32" s="163">
        <f t="shared" si="0"/>
        <v>1983653.304</v>
      </c>
    </row>
    <row r="33" spans="1:5" s="414" customFormat="1" ht="12.75">
      <c r="A33" s="173" t="s">
        <v>219</v>
      </c>
      <c r="B33" s="173" t="s">
        <v>220</v>
      </c>
      <c r="C33" s="163">
        <v>611.303</v>
      </c>
      <c r="D33" s="163">
        <v>18.628</v>
      </c>
      <c r="E33" s="163">
        <f t="shared" si="0"/>
        <v>592.675</v>
      </c>
    </row>
    <row r="34" spans="1:5" s="414" customFormat="1" ht="12.75">
      <c r="A34" s="173" t="s">
        <v>221</v>
      </c>
      <c r="B34" s="173" t="s">
        <v>222</v>
      </c>
      <c r="C34" s="163">
        <v>600.262</v>
      </c>
      <c r="D34" s="20">
        <v>0</v>
      </c>
      <c r="E34" s="163">
        <f t="shared" si="0"/>
        <v>600.262</v>
      </c>
    </row>
    <row r="35" spans="1:5" s="414" customFormat="1" ht="12.75">
      <c r="A35" s="173" t="s">
        <v>223</v>
      </c>
      <c r="B35" s="173" t="s">
        <v>224</v>
      </c>
      <c r="C35" s="163">
        <v>798440.678</v>
      </c>
      <c r="D35" s="163">
        <v>63782.157</v>
      </c>
      <c r="E35" s="163">
        <f t="shared" si="0"/>
        <v>734658.521</v>
      </c>
    </row>
    <row r="36" spans="1:5" s="414" customFormat="1" ht="12.75">
      <c r="A36" s="173" t="s">
        <v>225</v>
      </c>
      <c r="B36" s="173" t="s">
        <v>226</v>
      </c>
      <c r="C36" s="163">
        <v>16761.098</v>
      </c>
      <c r="D36" s="20">
        <v>0</v>
      </c>
      <c r="E36" s="163">
        <f t="shared" si="0"/>
        <v>16761.098</v>
      </c>
    </row>
    <row r="37" spans="1:5" s="414" customFormat="1" ht="12.75">
      <c r="A37" s="173" t="s">
        <v>227</v>
      </c>
      <c r="B37" s="173" t="s">
        <v>228</v>
      </c>
      <c r="C37" s="163">
        <v>519418.474</v>
      </c>
      <c r="D37" s="190">
        <v>23995.19368</v>
      </c>
      <c r="E37" s="163">
        <f t="shared" si="0"/>
        <v>495423.28031999996</v>
      </c>
    </row>
    <row r="38" spans="1:5" s="414" customFormat="1" ht="12.75">
      <c r="A38" s="173" t="s">
        <v>229</v>
      </c>
      <c r="B38" s="173" t="s">
        <v>230</v>
      </c>
      <c r="C38" s="163">
        <v>28943.196</v>
      </c>
      <c r="D38" s="190">
        <v>4420.165</v>
      </c>
      <c r="E38" s="163">
        <f t="shared" si="0"/>
        <v>24523.031</v>
      </c>
    </row>
    <row r="39" spans="1:5" s="414" customFormat="1" ht="12.75">
      <c r="A39" s="173" t="s">
        <v>231</v>
      </c>
      <c r="B39" s="173" t="s">
        <v>232</v>
      </c>
      <c r="C39" s="163">
        <v>36039.656</v>
      </c>
      <c r="D39" s="190">
        <v>6833.988</v>
      </c>
      <c r="E39" s="163">
        <f t="shared" si="0"/>
        <v>29205.668</v>
      </c>
    </row>
    <row r="40" spans="1:5" s="414" customFormat="1" ht="12.75">
      <c r="A40" s="173" t="s">
        <v>233</v>
      </c>
      <c r="B40" s="173" t="s">
        <v>252</v>
      </c>
      <c r="C40" s="163">
        <v>373397.063</v>
      </c>
      <c r="D40" s="163">
        <v>56967.596</v>
      </c>
      <c r="E40" s="163">
        <f t="shared" si="0"/>
        <v>316429.467</v>
      </c>
    </row>
    <row r="41" spans="1:5" s="414" customFormat="1" ht="14.25" customHeight="1">
      <c r="A41" s="242" t="s">
        <v>234</v>
      </c>
      <c r="B41" s="242" t="s">
        <v>476</v>
      </c>
      <c r="C41" s="20">
        <v>0</v>
      </c>
      <c r="D41" s="190">
        <v>14.17</v>
      </c>
      <c r="E41" s="190">
        <f t="shared" si="0"/>
        <v>-14.17</v>
      </c>
    </row>
    <row r="42" spans="1:5" s="414" customFormat="1" ht="6" customHeight="1" thickBot="1">
      <c r="A42" s="173"/>
      <c r="B42" s="173"/>
      <c r="C42" s="257"/>
      <c r="D42" s="163"/>
      <c r="E42" s="163"/>
    </row>
    <row r="43" spans="1:5" ht="15" customHeight="1" thickBot="1" thickTop="1">
      <c r="A43" s="566" t="s">
        <v>235</v>
      </c>
      <c r="B43" s="566"/>
      <c r="C43" s="567">
        <f>SUM(C13:C41)</f>
        <v>14013780.622719996</v>
      </c>
      <c r="D43" s="567">
        <f>SUM(D13:D41)</f>
        <v>1094480.9236799998</v>
      </c>
      <c r="E43" s="567">
        <f>SUM(E13:E41)</f>
        <v>12919299.69904</v>
      </c>
    </row>
    <row r="44" spans="1:5" s="418" customFormat="1" ht="13.5" thickTop="1">
      <c r="A44" s="174"/>
      <c r="B44" s="174"/>
      <c r="C44" s="362"/>
      <c r="D44" s="174"/>
      <c r="E44" s="174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5" r:id="rId1"/>
  <headerFooter alignWithMargins="0">
    <oddFooter>&amp;C&amp;11- 12 -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" sqref="J5"/>
    </sheetView>
  </sheetViews>
  <sheetFormatPr defaultColWidth="9.140625" defaultRowHeight="12.75"/>
  <cols>
    <col min="1" max="1" width="5.421875" style="174" customWidth="1"/>
    <col min="2" max="2" width="38.7109375" style="174" customWidth="1"/>
    <col min="3" max="3" width="13.57421875" style="174" customWidth="1"/>
    <col min="4" max="4" width="13.421875" style="174" customWidth="1"/>
    <col min="5" max="5" width="11.8515625" style="174" customWidth="1"/>
    <col min="6" max="6" width="12.421875" style="236" customWidth="1"/>
    <col min="7" max="16384" width="9.140625" style="416" customWidth="1"/>
  </cols>
  <sheetData>
    <row r="1" spans="1:6" s="414" customFormat="1" ht="20.25">
      <c r="A1" s="590" t="s">
        <v>84</v>
      </c>
      <c r="B1" s="590"/>
      <c r="C1" s="590"/>
      <c r="D1" s="590"/>
      <c r="E1" s="590"/>
      <c r="F1" s="590"/>
    </row>
    <row r="2" spans="1:6" s="414" customFormat="1" ht="18.75">
      <c r="A2" s="608" t="s">
        <v>301</v>
      </c>
      <c r="B2" s="608"/>
      <c r="C2" s="608"/>
      <c r="D2" s="608"/>
      <c r="E2" s="608"/>
      <c r="F2" s="608"/>
    </row>
    <row r="3" spans="1:6" s="414" customFormat="1" ht="15">
      <c r="A3" s="594" t="str">
        <f>+'Exp#PS#cat'!A3:E3</f>
        <v>as of 9/18/15</v>
      </c>
      <c r="B3" s="594"/>
      <c r="C3" s="594"/>
      <c r="D3" s="594"/>
      <c r="E3" s="594"/>
      <c r="F3" s="594"/>
    </row>
    <row r="4" spans="1:6" s="414" customFormat="1" ht="12.75">
      <c r="A4" s="611" t="s">
        <v>14</v>
      </c>
      <c r="B4" s="611"/>
      <c r="C4" s="611"/>
      <c r="D4" s="611"/>
      <c r="E4" s="611"/>
      <c r="F4" s="611"/>
    </row>
    <row r="5" spans="1:6" s="414" customFormat="1" ht="12.75">
      <c r="A5" s="81"/>
      <c r="B5" s="81"/>
      <c r="C5" s="81"/>
      <c r="D5" s="81"/>
      <c r="E5" s="81"/>
      <c r="F5" s="236"/>
    </row>
    <row r="6" spans="1:6" s="414" customFormat="1" ht="7.5" customHeight="1">
      <c r="A6" s="175"/>
      <c r="B6" s="4"/>
      <c r="C6" s="4"/>
      <c r="D6" s="4"/>
      <c r="E6" s="176"/>
      <c r="F6" s="236"/>
    </row>
    <row r="7" spans="1:6" s="414" customFormat="1" ht="6" customHeight="1">
      <c r="A7" s="164"/>
      <c r="B7" s="164"/>
      <c r="C7" s="527"/>
      <c r="D7" s="165"/>
      <c r="E7" s="166"/>
      <c r="F7" s="165"/>
    </row>
    <row r="8" spans="1:6" s="414" customFormat="1" ht="13.5" customHeight="1">
      <c r="A8" s="572"/>
      <c r="B8" s="572"/>
      <c r="C8" s="167" t="s">
        <v>520</v>
      </c>
      <c r="D8" s="354"/>
      <c r="E8" s="257"/>
      <c r="F8" s="354"/>
    </row>
    <row r="9" spans="1:6" s="415" customFormat="1" ht="13.5" customHeight="1">
      <c r="A9" s="300"/>
      <c r="B9" s="177"/>
      <c r="C9" s="167" t="s">
        <v>291</v>
      </c>
      <c r="D9" s="167" t="s">
        <v>88</v>
      </c>
      <c r="E9" s="168" t="s">
        <v>86</v>
      </c>
      <c r="F9" s="167" t="s">
        <v>87</v>
      </c>
    </row>
    <row r="10" spans="1:6" s="415" customFormat="1" ht="13.5" customHeight="1">
      <c r="A10" s="169"/>
      <c r="B10" s="301" t="s">
        <v>85</v>
      </c>
      <c r="C10" s="167" t="s">
        <v>5</v>
      </c>
      <c r="D10" s="167" t="s">
        <v>300</v>
      </c>
      <c r="E10" s="168" t="s">
        <v>302</v>
      </c>
      <c r="F10" s="167" t="s">
        <v>89</v>
      </c>
    </row>
    <row r="11" spans="1:6" s="401" customFormat="1" ht="6" customHeight="1">
      <c r="A11" s="170"/>
      <c r="B11" s="170"/>
      <c r="C11" s="171"/>
      <c r="D11" s="171"/>
      <c r="E11" s="172"/>
      <c r="F11" s="171"/>
    </row>
    <row r="12" spans="1:6" s="401" customFormat="1" ht="7.5" customHeight="1">
      <c r="A12" s="173"/>
      <c r="B12" s="173"/>
      <c r="C12" s="167"/>
      <c r="D12" s="179"/>
      <c r="E12" s="178"/>
      <c r="F12" s="163"/>
    </row>
    <row r="13" spans="1:6" s="401" customFormat="1" ht="12.75" customHeight="1">
      <c r="A13" s="173" t="s">
        <v>90</v>
      </c>
      <c r="B13" s="173" t="s">
        <v>91</v>
      </c>
      <c r="C13" s="313">
        <v>362400.676</v>
      </c>
      <c r="D13" s="313">
        <v>71299.615</v>
      </c>
      <c r="E13" s="243">
        <f aca="true" t="shared" si="0" ref="E13:E57">D13/C13</f>
        <v>0.19674250000571195</v>
      </c>
      <c r="F13" s="314">
        <f aca="true" t="shared" si="1" ref="F13:F57">C13-D13</f>
        <v>291101.061</v>
      </c>
    </row>
    <row r="14" spans="1:6" s="401" customFormat="1" ht="12.75" customHeight="1">
      <c r="A14" s="173" t="s">
        <v>92</v>
      </c>
      <c r="B14" s="173" t="s">
        <v>93</v>
      </c>
      <c r="C14" s="163">
        <v>62848.79</v>
      </c>
      <c r="D14" s="163">
        <v>30300</v>
      </c>
      <c r="E14" s="243">
        <f t="shared" si="0"/>
        <v>0.4821095203264852</v>
      </c>
      <c r="F14" s="163">
        <f t="shared" si="1"/>
        <v>32548.79</v>
      </c>
    </row>
    <row r="15" spans="1:6" s="401" customFormat="1" ht="12.75" customHeight="1">
      <c r="A15" s="173" t="s">
        <v>94</v>
      </c>
      <c r="B15" s="173" t="s">
        <v>95</v>
      </c>
      <c r="C15" s="163">
        <v>220254.094</v>
      </c>
      <c r="D15" s="163">
        <v>106364.535</v>
      </c>
      <c r="E15" s="243">
        <f t="shared" si="0"/>
        <v>0.4829174026613099</v>
      </c>
      <c r="F15" s="163">
        <f t="shared" si="1"/>
        <v>113889.55900000001</v>
      </c>
    </row>
    <row r="16" spans="1:6" s="401" customFormat="1" ht="12.75" customHeight="1">
      <c r="A16" s="180" t="s">
        <v>96</v>
      </c>
      <c r="B16" s="173" t="s">
        <v>97</v>
      </c>
      <c r="C16" s="163">
        <v>29066.326</v>
      </c>
      <c r="D16" s="163">
        <v>11789.388</v>
      </c>
      <c r="E16" s="243">
        <f t="shared" si="0"/>
        <v>0.40560296475034374</v>
      </c>
      <c r="F16" s="299">
        <f t="shared" si="1"/>
        <v>17276.938000000002</v>
      </c>
    </row>
    <row r="17" spans="1:6" s="401" customFormat="1" ht="12.75" customHeight="1">
      <c r="A17" s="173" t="s">
        <v>98</v>
      </c>
      <c r="B17" s="173" t="s">
        <v>99</v>
      </c>
      <c r="C17" s="163">
        <v>92852.93</v>
      </c>
      <c r="D17" s="163">
        <v>18086.883</v>
      </c>
      <c r="E17" s="243">
        <f t="shared" si="0"/>
        <v>0.19479065442522928</v>
      </c>
      <c r="F17" s="163">
        <f t="shared" si="1"/>
        <v>74766.04699999999</v>
      </c>
    </row>
    <row r="18" spans="1:6" s="401" customFormat="1" ht="12.75" customHeight="1">
      <c r="A18" s="173" t="s">
        <v>100</v>
      </c>
      <c r="B18" s="173" t="s">
        <v>101</v>
      </c>
      <c r="C18" s="163">
        <v>116175.054</v>
      </c>
      <c r="D18" s="163">
        <v>26996.092</v>
      </c>
      <c r="E18" s="243">
        <f t="shared" si="0"/>
        <v>0.2323742582465251</v>
      </c>
      <c r="F18" s="163">
        <f t="shared" si="1"/>
        <v>89178.962</v>
      </c>
    </row>
    <row r="19" spans="1:6" s="401" customFormat="1" ht="12.75" customHeight="1">
      <c r="A19" s="173" t="s">
        <v>102</v>
      </c>
      <c r="B19" s="173" t="s">
        <v>103</v>
      </c>
      <c r="C19" s="163">
        <v>18638.178</v>
      </c>
      <c r="D19" s="163">
        <v>710.806</v>
      </c>
      <c r="E19" s="243">
        <f t="shared" si="0"/>
        <v>0.038137096877173295</v>
      </c>
      <c r="F19" s="163">
        <f t="shared" si="1"/>
        <v>17927.372</v>
      </c>
    </row>
    <row r="20" spans="1:6" s="401" customFormat="1" ht="12.75" customHeight="1">
      <c r="A20" s="173" t="s">
        <v>104</v>
      </c>
      <c r="B20" s="173" t="s">
        <v>105</v>
      </c>
      <c r="C20" s="163">
        <v>808157.598</v>
      </c>
      <c r="D20" s="163">
        <v>37886.462</v>
      </c>
      <c r="E20" s="243">
        <f t="shared" si="0"/>
        <v>0.04688004183065294</v>
      </c>
      <c r="F20" s="163">
        <f t="shared" si="1"/>
        <v>770271.1359999999</v>
      </c>
    </row>
    <row r="21" spans="1:6" s="401" customFormat="1" ht="12.75" customHeight="1">
      <c r="A21" s="173" t="s">
        <v>106</v>
      </c>
      <c r="B21" s="173" t="s">
        <v>107</v>
      </c>
      <c r="C21" s="163">
        <v>80388.556</v>
      </c>
      <c r="D21" s="163">
        <v>17756.574</v>
      </c>
      <c r="E21" s="243">
        <f t="shared" si="0"/>
        <v>0.22088435075261212</v>
      </c>
      <c r="F21" s="163">
        <f t="shared" si="1"/>
        <v>62631.981999999996</v>
      </c>
    </row>
    <row r="22" spans="1:6" s="401" customFormat="1" ht="12.75" customHeight="1">
      <c r="A22" s="173" t="s">
        <v>108</v>
      </c>
      <c r="B22" s="173" t="s">
        <v>109</v>
      </c>
      <c r="C22" s="163">
        <v>207194.83</v>
      </c>
      <c r="D22" s="163">
        <v>200006.223</v>
      </c>
      <c r="E22" s="243">
        <f t="shared" si="0"/>
        <v>0.9653050850737926</v>
      </c>
      <c r="F22" s="163">
        <f t="shared" si="1"/>
        <v>7188.606999999989</v>
      </c>
    </row>
    <row r="23" spans="1:6" s="401" customFormat="1" ht="12.75" customHeight="1">
      <c r="A23" s="173" t="s">
        <v>110</v>
      </c>
      <c r="B23" s="173" t="s">
        <v>111</v>
      </c>
      <c r="C23" s="163">
        <v>234766.712</v>
      </c>
      <c r="D23" s="163">
        <v>2000</v>
      </c>
      <c r="E23" s="243">
        <f t="shared" si="0"/>
        <v>0.008519095330687256</v>
      </c>
      <c r="F23" s="163">
        <f t="shared" si="1"/>
        <v>232766.712</v>
      </c>
    </row>
    <row r="24" spans="1:6" s="401" customFormat="1" ht="12.75" customHeight="1">
      <c r="A24" s="173" t="s">
        <v>236</v>
      </c>
      <c r="B24" s="173" t="s">
        <v>237</v>
      </c>
      <c r="C24" s="163">
        <v>16475.598</v>
      </c>
      <c r="D24" s="163">
        <v>3449.822</v>
      </c>
      <c r="E24" s="243">
        <f t="shared" si="0"/>
        <v>0.209389789675616</v>
      </c>
      <c r="F24" s="163">
        <f t="shared" si="1"/>
        <v>13025.776000000002</v>
      </c>
    </row>
    <row r="25" spans="1:6" s="401" customFormat="1" ht="12.75" customHeight="1">
      <c r="A25" s="173" t="s">
        <v>112</v>
      </c>
      <c r="B25" s="173" t="s">
        <v>113</v>
      </c>
      <c r="C25" s="163">
        <v>93499.812</v>
      </c>
      <c r="D25" s="163">
        <v>76676.551</v>
      </c>
      <c r="E25" s="243">
        <f t="shared" si="0"/>
        <v>0.8200717130853696</v>
      </c>
      <c r="F25" s="163">
        <f t="shared" si="1"/>
        <v>16823.261</v>
      </c>
    </row>
    <row r="26" spans="1:6" s="401" customFormat="1" ht="12.75" customHeight="1">
      <c r="A26" s="173" t="s">
        <v>114</v>
      </c>
      <c r="B26" s="173" t="s">
        <v>115</v>
      </c>
      <c r="C26" s="163">
        <v>13475.292</v>
      </c>
      <c r="D26" s="163">
        <v>2772.49</v>
      </c>
      <c r="E26" s="243">
        <f t="shared" si="0"/>
        <v>0.20574619088031634</v>
      </c>
      <c r="F26" s="163">
        <f t="shared" si="1"/>
        <v>10702.802</v>
      </c>
    </row>
    <row r="27" spans="1:6" s="401" customFormat="1" ht="12.75" customHeight="1">
      <c r="A27" s="173" t="s">
        <v>116</v>
      </c>
      <c r="B27" s="173" t="s">
        <v>117</v>
      </c>
      <c r="C27" s="163">
        <v>178.324</v>
      </c>
      <c r="D27" s="190">
        <v>94.885</v>
      </c>
      <c r="E27" s="244">
        <f t="shared" si="0"/>
        <v>0.5320932684327404</v>
      </c>
      <c r="F27" s="163">
        <f t="shared" si="1"/>
        <v>83.43900000000001</v>
      </c>
    </row>
    <row r="28" spans="1:6" s="401" customFormat="1" ht="12.75" customHeight="1">
      <c r="A28" s="173" t="s">
        <v>118</v>
      </c>
      <c r="B28" s="173" t="s">
        <v>119</v>
      </c>
      <c r="C28" s="163">
        <v>1823.045</v>
      </c>
      <c r="D28" s="163">
        <v>265.015</v>
      </c>
      <c r="E28" s="243">
        <f t="shared" si="0"/>
        <v>0.14536942313546838</v>
      </c>
      <c r="F28" s="163">
        <f t="shared" si="1"/>
        <v>1558.0300000000002</v>
      </c>
    </row>
    <row r="29" spans="1:6" s="401" customFormat="1" ht="12.75" customHeight="1">
      <c r="A29" s="173" t="s">
        <v>120</v>
      </c>
      <c r="B29" s="173" t="s">
        <v>121</v>
      </c>
      <c r="C29" s="564">
        <v>27116.147</v>
      </c>
      <c r="D29" s="163">
        <v>24483.945</v>
      </c>
      <c r="E29" s="243">
        <f t="shared" si="0"/>
        <v>0.9029286129773525</v>
      </c>
      <c r="F29" s="163">
        <f t="shared" si="1"/>
        <v>2632.202000000001</v>
      </c>
    </row>
    <row r="30" spans="1:6" s="401" customFormat="1" ht="12.75" customHeight="1">
      <c r="A30" s="173" t="s">
        <v>122</v>
      </c>
      <c r="B30" s="173" t="s">
        <v>123</v>
      </c>
      <c r="C30" s="163">
        <v>5531.251</v>
      </c>
      <c r="D30" s="163">
        <v>3078.42</v>
      </c>
      <c r="E30" s="243">
        <f t="shared" si="0"/>
        <v>0.5565504078552935</v>
      </c>
      <c r="F30" s="163">
        <f t="shared" si="1"/>
        <v>2452.831</v>
      </c>
    </row>
    <row r="31" spans="1:6" s="401" customFormat="1" ht="12.75" customHeight="1">
      <c r="A31" s="173" t="s">
        <v>124</v>
      </c>
      <c r="B31" s="173" t="s">
        <v>125</v>
      </c>
      <c r="C31" s="163">
        <v>322.416</v>
      </c>
      <c r="D31" s="163">
        <v>177.65</v>
      </c>
      <c r="E31" s="243">
        <f t="shared" si="0"/>
        <v>0.5509962284750136</v>
      </c>
      <c r="F31" s="163">
        <f t="shared" si="1"/>
        <v>144.766</v>
      </c>
    </row>
    <row r="32" spans="1:6" s="401" customFormat="1" ht="12.75" customHeight="1">
      <c r="A32" s="173" t="s">
        <v>126</v>
      </c>
      <c r="B32" s="173" t="s">
        <v>127</v>
      </c>
      <c r="C32" s="163">
        <v>21396.331</v>
      </c>
      <c r="D32" s="163">
        <v>14198.12</v>
      </c>
      <c r="E32" s="243">
        <f t="shared" si="0"/>
        <v>0.6635773208032724</v>
      </c>
      <c r="F32" s="163">
        <f t="shared" si="1"/>
        <v>7198.2109999999975</v>
      </c>
    </row>
    <row r="33" spans="1:6" s="401" customFormat="1" ht="12.75" customHeight="1">
      <c r="A33" s="173" t="s">
        <v>128</v>
      </c>
      <c r="B33" s="173" t="s">
        <v>129</v>
      </c>
      <c r="C33" s="163">
        <v>180.553</v>
      </c>
      <c r="D33" s="163">
        <v>140.975</v>
      </c>
      <c r="E33" s="243">
        <f t="shared" si="0"/>
        <v>0.7807956666463587</v>
      </c>
      <c r="F33" s="163">
        <f t="shared" si="1"/>
        <v>39.578</v>
      </c>
    </row>
    <row r="34" spans="1:6" s="401" customFormat="1" ht="12.75" customHeight="1">
      <c r="A34" s="173" t="s">
        <v>130</v>
      </c>
      <c r="B34" s="173" t="s">
        <v>131</v>
      </c>
      <c r="C34" s="163">
        <v>4881.781</v>
      </c>
      <c r="D34" s="163">
        <v>1660.044</v>
      </c>
      <c r="E34" s="243">
        <f t="shared" si="0"/>
        <v>0.34004884692697196</v>
      </c>
      <c r="F34" s="163">
        <f t="shared" si="1"/>
        <v>3221.737</v>
      </c>
    </row>
    <row r="35" spans="1:6" s="401" customFormat="1" ht="12.75" customHeight="1">
      <c r="A35" s="173" t="s">
        <v>132</v>
      </c>
      <c r="B35" s="173" t="s">
        <v>133</v>
      </c>
      <c r="C35" s="163">
        <v>53.111</v>
      </c>
      <c r="D35" s="20">
        <v>0</v>
      </c>
      <c r="E35" s="243">
        <f t="shared" si="0"/>
        <v>0</v>
      </c>
      <c r="F35" s="163">
        <f t="shared" si="1"/>
        <v>53.111</v>
      </c>
    </row>
    <row r="36" spans="1:6" s="401" customFormat="1" ht="12.75" customHeight="1">
      <c r="A36" s="173" t="s">
        <v>134</v>
      </c>
      <c r="B36" s="173" t="s">
        <v>135</v>
      </c>
      <c r="C36" s="163">
        <v>1136836.544</v>
      </c>
      <c r="D36" s="163">
        <v>454137.51</v>
      </c>
      <c r="E36" s="243">
        <f t="shared" si="0"/>
        <v>0.39947476389358577</v>
      </c>
      <c r="F36" s="163">
        <f t="shared" si="1"/>
        <v>682699.034</v>
      </c>
    </row>
    <row r="37" spans="1:6" s="401" customFormat="1" ht="12.75" customHeight="1">
      <c r="A37" s="242" t="s">
        <v>136</v>
      </c>
      <c r="B37" s="173" t="s">
        <v>137</v>
      </c>
      <c r="C37" s="163">
        <v>2851527.864</v>
      </c>
      <c r="D37" s="163">
        <v>2514965.578</v>
      </c>
      <c r="E37" s="243">
        <f t="shared" si="0"/>
        <v>0.8819712441708759</v>
      </c>
      <c r="F37" s="163">
        <f t="shared" si="1"/>
        <v>336562.28599999985</v>
      </c>
    </row>
    <row r="38" spans="1:6" s="401" customFormat="1" ht="12.75" customHeight="1">
      <c r="A38" s="173" t="s">
        <v>138</v>
      </c>
      <c r="B38" s="173" t="s">
        <v>139</v>
      </c>
      <c r="C38" s="163">
        <v>4366.735</v>
      </c>
      <c r="D38" s="163">
        <v>2060.7</v>
      </c>
      <c r="E38" s="243">
        <f t="shared" si="0"/>
        <v>0.4719086457043993</v>
      </c>
      <c r="F38" s="163">
        <f t="shared" si="1"/>
        <v>2306.035</v>
      </c>
    </row>
    <row r="39" spans="1:6" s="401" customFormat="1" ht="12.75" customHeight="1">
      <c r="A39" s="173" t="s">
        <v>140</v>
      </c>
      <c r="B39" s="242" t="s">
        <v>141</v>
      </c>
      <c r="C39" s="163">
        <v>172829.125</v>
      </c>
      <c r="D39" s="163">
        <v>33401.75</v>
      </c>
      <c r="E39" s="243">
        <f t="shared" si="0"/>
        <v>0.19326459009729985</v>
      </c>
      <c r="F39" s="163">
        <f t="shared" si="1"/>
        <v>139427.375</v>
      </c>
    </row>
    <row r="40" spans="1:6" s="401" customFormat="1" ht="12.75" customHeight="1">
      <c r="A40" s="173" t="s">
        <v>142</v>
      </c>
      <c r="B40" s="173" t="s">
        <v>143</v>
      </c>
      <c r="C40" s="163">
        <v>1609.995</v>
      </c>
      <c r="D40" s="163">
        <v>1456.097</v>
      </c>
      <c r="E40" s="243">
        <f t="shared" si="0"/>
        <v>0.9044108832636126</v>
      </c>
      <c r="F40" s="163">
        <f t="shared" si="1"/>
        <v>153.8979999999999</v>
      </c>
    </row>
    <row r="41" spans="1:6" s="401" customFormat="1" ht="12.75" customHeight="1">
      <c r="A41" s="173" t="s">
        <v>144</v>
      </c>
      <c r="B41" s="173" t="s">
        <v>145</v>
      </c>
      <c r="C41" s="163">
        <v>12061.691</v>
      </c>
      <c r="D41" s="163">
        <v>2886.319</v>
      </c>
      <c r="E41" s="243">
        <f t="shared" si="0"/>
        <v>0.23929638058212566</v>
      </c>
      <c r="F41" s="190">
        <f t="shared" si="1"/>
        <v>9175.372000000001</v>
      </c>
    </row>
    <row r="42" spans="1:6" s="401" customFormat="1" ht="12.75" customHeight="1">
      <c r="A42" s="173" t="s">
        <v>146</v>
      </c>
      <c r="B42" s="173" t="s">
        <v>147</v>
      </c>
      <c r="C42" s="163">
        <v>1180.393</v>
      </c>
      <c r="D42" s="163">
        <v>244.327</v>
      </c>
      <c r="E42" s="243">
        <f t="shared" si="0"/>
        <v>0.20698784218476388</v>
      </c>
      <c r="F42" s="163">
        <f t="shared" si="1"/>
        <v>936.066</v>
      </c>
    </row>
    <row r="43" spans="1:6" s="401" customFormat="1" ht="12.75" customHeight="1">
      <c r="A43" s="173" t="s">
        <v>148</v>
      </c>
      <c r="B43" s="173" t="s">
        <v>149</v>
      </c>
      <c r="C43" s="564">
        <v>54014.375</v>
      </c>
      <c r="D43" s="163">
        <v>43541.897</v>
      </c>
      <c r="E43" s="243">
        <f t="shared" si="0"/>
        <v>0.8061168346389271</v>
      </c>
      <c r="F43" s="190">
        <f t="shared" si="1"/>
        <v>10472.478000000003</v>
      </c>
    </row>
    <row r="44" spans="1:6" s="401" customFormat="1" ht="12.75" customHeight="1">
      <c r="A44" s="242" t="s">
        <v>150</v>
      </c>
      <c r="B44" s="173" t="s">
        <v>151</v>
      </c>
      <c r="C44" s="163">
        <v>811384.934</v>
      </c>
      <c r="D44" s="163">
        <v>380799.939</v>
      </c>
      <c r="E44" s="243">
        <f t="shared" si="0"/>
        <v>0.4693209388578566</v>
      </c>
      <c r="F44" s="163">
        <f t="shared" si="1"/>
        <v>430584.995</v>
      </c>
    </row>
    <row r="45" spans="1:6" s="401" customFormat="1" ht="12.75" customHeight="1">
      <c r="A45" s="173" t="s">
        <v>152</v>
      </c>
      <c r="B45" s="173" t="s">
        <v>153</v>
      </c>
      <c r="C45" s="163">
        <v>139720.401</v>
      </c>
      <c r="D45" s="163">
        <v>61768.444</v>
      </c>
      <c r="E45" s="243">
        <f t="shared" si="0"/>
        <v>0.4420860773223804</v>
      </c>
      <c r="F45" s="163">
        <f t="shared" si="1"/>
        <v>77951.95700000001</v>
      </c>
    </row>
    <row r="46" spans="1:6" s="401" customFormat="1" ht="12.75" customHeight="1">
      <c r="A46" s="173" t="s">
        <v>154</v>
      </c>
      <c r="B46" s="173" t="s">
        <v>155</v>
      </c>
      <c r="C46" s="163">
        <v>89411.758</v>
      </c>
      <c r="D46" s="163">
        <v>18754.508</v>
      </c>
      <c r="E46" s="243">
        <f t="shared" si="0"/>
        <v>0.2097543815210523</v>
      </c>
      <c r="F46" s="163">
        <f t="shared" si="1"/>
        <v>70657.25</v>
      </c>
    </row>
    <row r="47" spans="1:6" s="401" customFormat="1" ht="12.75" customHeight="1">
      <c r="A47" s="173" t="s">
        <v>156</v>
      </c>
      <c r="B47" s="173" t="s">
        <v>157</v>
      </c>
      <c r="C47" s="163">
        <v>379.43</v>
      </c>
      <c r="D47" s="163">
        <v>119.609</v>
      </c>
      <c r="E47" s="243">
        <f t="shared" si="0"/>
        <v>0.31523337638036</v>
      </c>
      <c r="F47" s="163">
        <f t="shared" si="1"/>
        <v>259.821</v>
      </c>
    </row>
    <row r="48" spans="1:6" s="401" customFormat="1" ht="12.75" customHeight="1">
      <c r="A48" s="173" t="s">
        <v>158</v>
      </c>
      <c r="B48" s="173" t="s">
        <v>159</v>
      </c>
      <c r="C48" s="163">
        <v>1262</v>
      </c>
      <c r="D48" s="20">
        <v>0</v>
      </c>
      <c r="E48" s="243">
        <f t="shared" si="0"/>
        <v>0</v>
      </c>
      <c r="F48" s="163">
        <f t="shared" si="1"/>
        <v>1262</v>
      </c>
    </row>
    <row r="49" spans="1:6" s="401" customFormat="1" ht="12.75" customHeight="1">
      <c r="A49" s="173" t="s">
        <v>160</v>
      </c>
      <c r="B49" s="173" t="s">
        <v>161</v>
      </c>
      <c r="C49" s="163">
        <v>49462.932</v>
      </c>
      <c r="D49" s="163">
        <v>22414.571</v>
      </c>
      <c r="E49" s="243">
        <f t="shared" si="0"/>
        <v>0.4531589635648772</v>
      </c>
      <c r="F49" s="163">
        <f t="shared" si="1"/>
        <v>27048.361</v>
      </c>
    </row>
    <row r="50" spans="1:6" s="401" customFormat="1" ht="12.75" customHeight="1">
      <c r="A50" s="173" t="s">
        <v>162</v>
      </c>
      <c r="B50" s="173" t="s">
        <v>163</v>
      </c>
      <c r="C50" s="163">
        <v>17637.13</v>
      </c>
      <c r="D50" s="163">
        <v>18935.156</v>
      </c>
      <c r="E50" s="243">
        <f t="shared" si="0"/>
        <v>1.073596214350067</v>
      </c>
      <c r="F50" s="163">
        <f t="shared" si="1"/>
        <v>-1298.025999999998</v>
      </c>
    </row>
    <row r="51" spans="1:6" s="401" customFormat="1" ht="12.75" customHeight="1">
      <c r="A51" s="173" t="s">
        <v>164</v>
      </c>
      <c r="B51" s="173" t="s">
        <v>165</v>
      </c>
      <c r="C51" s="163">
        <v>98.103</v>
      </c>
      <c r="D51" s="163">
        <v>5.256</v>
      </c>
      <c r="E51" s="243">
        <f t="shared" si="0"/>
        <v>0.05357634323109386</v>
      </c>
      <c r="F51" s="163">
        <f t="shared" si="1"/>
        <v>92.847</v>
      </c>
    </row>
    <row r="52" spans="1:6" s="401" customFormat="1" ht="12.75" customHeight="1">
      <c r="A52" s="173" t="s">
        <v>166</v>
      </c>
      <c r="B52" s="173" t="s">
        <v>167</v>
      </c>
      <c r="C52" s="163">
        <v>31027.745</v>
      </c>
      <c r="D52" s="163">
        <v>2064.512</v>
      </c>
      <c r="E52" s="243">
        <f t="shared" si="0"/>
        <v>0.06653761012925691</v>
      </c>
      <c r="F52" s="163">
        <f t="shared" si="1"/>
        <v>28963.233</v>
      </c>
    </row>
    <row r="53" spans="1:6" s="401" customFormat="1" ht="12.75" customHeight="1">
      <c r="A53" s="173" t="s">
        <v>168</v>
      </c>
      <c r="B53" s="173" t="s">
        <v>169</v>
      </c>
      <c r="C53" s="163">
        <v>2390.161</v>
      </c>
      <c r="D53" s="20">
        <v>0</v>
      </c>
      <c r="E53" s="243">
        <f t="shared" si="0"/>
        <v>0</v>
      </c>
      <c r="F53" s="163">
        <f t="shared" si="1"/>
        <v>2390.161</v>
      </c>
    </row>
    <row r="54" spans="1:6" s="401" customFormat="1" ht="12.75" customHeight="1">
      <c r="A54" s="173" t="s">
        <v>170</v>
      </c>
      <c r="B54" s="173" t="s">
        <v>171</v>
      </c>
      <c r="C54" s="163">
        <v>45135.001</v>
      </c>
      <c r="D54" s="163">
        <v>150</v>
      </c>
      <c r="E54" s="243">
        <f t="shared" si="0"/>
        <v>0.003323363169970906</v>
      </c>
      <c r="F54" s="163">
        <f t="shared" si="1"/>
        <v>44985.001</v>
      </c>
    </row>
    <row r="55" spans="1:6" s="401" customFormat="1" ht="12.75" customHeight="1">
      <c r="A55" s="173" t="s">
        <v>172</v>
      </c>
      <c r="B55" s="173" t="s">
        <v>173</v>
      </c>
      <c r="C55" s="163">
        <v>15450.338</v>
      </c>
      <c r="D55" s="20">
        <v>0</v>
      </c>
      <c r="E55" s="243">
        <f t="shared" si="0"/>
        <v>0</v>
      </c>
      <c r="F55" s="163">
        <f t="shared" si="1"/>
        <v>15450.338</v>
      </c>
    </row>
    <row r="56" spans="1:6" s="401" customFormat="1" ht="12.75" customHeight="1">
      <c r="A56" s="173" t="s">
        <v>174</v>
      </c>
      <c r="B56" s="173" t="s">
        <v>175</v>
      </c>
      <c r="C56" s="163">
        <v>3826.05</v>
      </c>
      <c r="D56" s="163">
        <v>504.2</v>
      </c>
      <c r="E56" s="243">
        <f t="shared" si="0"/>
        <v>0.13178081833744984</v>
      </c>
      <c r="F56" s="163">
        <f t="shared" si="1"/>
        <v>3321.8500000000004</v>
      </c>
    </row>
    <row r="57" spans="1:6" s="401" customFormat="1" ht="12.75" customHeight="1">
      <c r="A57" s="173" t="s">
        <v>176</v>
      </c>
      <c r="B57" s="173" t="s">
        <v>177</v>
      </c>
      <c r="C57" s="163">
        <v>45746.25</v>
      </c>
      <c r="D57" s="163">
        <v>11717.813</v>
      </c>
      <c r="E57" s="243">
        <f t="shared" si="0"/>
        <v>0.2561480558515725</v>
      </c>
      <c r="F57" s="163">
        <f t="shared" si="1"/>
        <v>34028.437</v>
      </c>
    </row>
    <row r="58" spans="1:6" s="401" customFormat="1" ht="8.25" customHeight="1" thickBot="1">
      <c r="A58" s="181"/>
      <c r="B58" s="173"/>
      <c r="C58" s="152"/>
      <c r="D58" s="181"/>
      <c r="E58" s="181"/>
      <c r="F58" s="237"/>
    </row>
    <row r="59" spans="1:6" s="401" customFormat="1" ht="15" customHeight="1" thickBot="1" thickTop="1">
      <c r="A59" s="566" t="s">
        <v>178</v>
      </c>
      <c r="B59" s="566"/>
      <c r="C59" s="568">
        <f>SUM(C13:C58)</f>
        <v>7905036.360000001</v>
      </c>
      <c r="D59" s="279">
        <f>SUM(D13:D57)</f>
        <v>4220122.681000002</v>
      </c>
      <c r="E59" s="569">
        <f>+D59/C59</f>
        <v>0.5338524060881108</v>
      </c>
      <c r="F59" s="279">
        <f>SUM(F13:F57)</f>
        <v>3684913.6790000005</v>
      </c>
    </row>
    <row r="60" spans="2:6" ht="13.5" thickTop="1">
      <c r="B60" s="189"/>
      <c r="C60"/>
      <c r="E60" s="182"/>
      <c r="F60" s="23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&amp;C&amp;11- 13 -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0" sqref="A10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12.00390625" style="425" customWidth="1"/>
    <col min="23" max="23" width="6.57421875" style="425" customWidth="1"/>
    <col min="24" max="24" width="9.8515625" style="425" customWidth="1"/>
    <col min="25" max="25" width="8.140625" style="425" customWidth="1"/>
    <col min="26" max="26" width="9.421875" style="425" customWidth="1"/>
    <col min="27" max="27" width="6.7109375" style="425" customWidth="1"/>
    <col min="28" max="28" width="9.7109375" style="425" customWidth="1"/>
    <col min="29" max="29" width="7.710937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29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</row>
    <row r="4" spans="1:29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</row>
    <row r="5" spans="1:29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</row>
    <row r="6" spans="1:29" s="411" customFormat="1" ht="13.5" customHeight="1" thickBot="1">
      <c r="A6" s="435"/>
      <c r="B6" s="436"/>
      <c r="C6" s="436"/>
      <c r="D6" s="370"/>
      <c r="E6" s="372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</row>
    <row r="7" spans="1:29" s="411" customFormat="1" ht="9.75" customHeight="1">
      <c r="A7" s="430"/>
      <c r="B7" s="431"/>
      <c r="C7" s="437"/>
      <c r="D7" s="373"/>
      <c r="E7" s="374"/>
      <c r="F7" s="373"/>
      <c r="G7" s="374"/>
      <c r="H7" s="373"/>
      <c r="I7" s="374"/>
      <c r="J7" s="373"/>
      <c r="K7" s="374"/>
      <c r="L7" s="373"/>
      <c r="M7" s="374"/>
      <c r="N7" s="373"/>
      <c r="O7" s="374"/>
      <c r="P7" s="373"/>
      <c r="Q7" s="374"/>
      <c r="R7" s="373"/>
      <c r="S7" s="374"/>
      <c r="T7" s="373"/>
      <c r="U7" s="374"/>
      <c r="V7" s="373"/>
      <c r="W7" s="374"/>
      <c r="X7" s="373"/>
      <c r="Y7" s="374"/>
      <c r="Z7" s="373"/>
      <c r="AA7" s="374"/>
      <c r="AB7" s="373"/>
      <c r="AC7" s="374"/>
    </row>
    <row r="8" spans="1:29" s="380" customFormat="1" ht="13.5" customHeight="1">
      <c r="A8" s="375" t="s">
        <v>379</v>
      </c>
      <c r="B8" s="376" t="s">
        <v>380</v>
      </c>
      <c r="C8" s="377" t="s">
        <v>381</v>
      </c>
      <c r="D8" s="369" t="s">
        <v>494</v>
      </c>
      <c r="E8" s="534" t="s">
        <v>526</v>
      </c>
      <c r="F8" s="378" t="s">
        <v>527</v>
      </c>
      <c r="G8" s="379">
        <v>42220</v>
      </c>
      <c r="H8" s="378" t="s">
        <v>528</v>
      </c>
      <c r="I8" s="379">
        <v>42258</v>
      </c>
      <c r="J8" s="378" t="s">
        <v>529</v>
      </c>
      <c r="K8" s="379">
        <v>42286</v>
      </c>
      <c r="L8" s="378" t="s">
        <v>530</v>
      </c>
      <c r="M8" s="379">
        <v>42314</v>
      </c>
      <c r="N8" s="378" t="s">
        <v>531</v>
      </c>
      <c r="O8" s="379">
        <v>42342</v>
      </c>
      <c r="P8" s="378" t="s">
        <v>532</v>
      </c>
      <c r="Q8" s="379">
        <v>42019</v>
      </c>
      <c r="R8" s="378" t="s">
        <v>533</v>
      </c>
      <c r="S8" s="379">
        <v>42047</v>
      </c>
      <c r="T8" s="378" t="s">
        <v>534</v>
      </c>
      <c r="U8" s="379">
        <v>42074</v>
      </c>
      <c r="V8" s="378" t="s">
        <v>535</v>
      </c>
      <c r="W8" s="379">
        <v>42102</v>
      </c>
      <c r="X8" s="378" t="s">
        <v>536</v>
      </c>
      <c r="Y8" s="379">
        <v>42130</v>
      </c>
      <c r="Z8" s="378" t="s">
        <v>537</v>
      </c>
      <c r="AA8" s="379">
        <v>42158</v>
      </c>
      <c r="AB8" s="378" t="s">
        <v>538</v>
      </c>
      <c r="AC8" s="379">
        <v>42186</v>
      </c>
    </row>
    <row r="9" spans="1:29" s="380" customFormat="1" ht="13.5" customHeight="1">
      <c r="A9" s="375" t="s">
        <v>382</v>
      </c>
      <c r="B9" s="381"/>
      <c r="C9" s="377" t="s">
        <v>383</v>
      </c>
      <c r="D9" s="378" t="s">
        <v>539</v>
      </c>
      <c r="E9" s="379">
        <v>42216</v>
      </c>
      <c r="F9" s="378" t="s">
        <v>540</v>
      </c>
      <c r="G9" s="379">
        <v>42234</v>
      </c>
      <c r="H9" s="378" t="s">
        <v>541</v>
      </c>
      <c r="I9" s="379">
        <v>42272</v>
      </c>
      <c r="J9" s="378" t="s">
        <v>542</v>
      </c>
      <c r="K9" s="379">
        <v>42300</v>
      </c>
      <c r="L9" s="378" t="s">
        <v>543</v>
      </c>
      <c r="M9" s="379">
        <v>42328</v>
      </c>
      <c r="N9" s="378" t="s">
        <v>544</v>
      </c>
      <c r="O9" s="379">
        <v>42356</v>
      </c>
      <c r="P9" s="378" t="s">
        <v>545</v>
      </c>
      <c r="Q9" s="379">
        <v>42033</v>
      </c>
      <c r="R9" s="378" t="s">
        <v>546</v>
      </c>
      <c r="S9" s="379">
        <v>42061</v>
      </c>
      <c r="T9" s="378" t="s">
        <v>547</v>
      </c>
      <c r="U9" s="379">
        <v>42088</v>
      </c>
      <c r="V9" s="378" t="s">
        <v>548</v>
      </c>
      <c r="W9" s="379">
        <v>42116</v>
      </c>
      <c r="X9" s="378" t="s">
        <v>549</v>
      </c>
      <c r="Y9" s="379">
        <v>42144</v>
      </c>
      <c r="Z9" s="378" t="s">
        <v>550</v>
      </c>
      <c r="AA9" s="379">
        <v>42172</v>
      </c>
      <c r="AB9" s="378" t="s">
        <v>551</v>
      </c>
      <c r="AC9" s="379">
        <v>42200</v>
      </c>
    </row>
    <row r="10" spans="1:29" s="380" customFormat="1" ht="13.5" customHeight="1">
      <c r="A10" s="375" t="s">
        <v>384</v>
      </c>
      <c r="B10" s="381"/>
      <c r="C10" s="377" t="s">
        <v>385</v>
      </c>
      <c r="D10" s="378"/>
      <c r="E10" s="379"/>
      <c r="F10" s="378" t="s">
        <v>1</v>
      </c>
      <c r="G10" s="379" t="s">
        <v>1</v>
      </c>
      <c r="H10" s="378"/>
      <c r="I10" s="379"/>
      <c r="J10" s="457"/>
      <c r="K10" s="457"/>
      <c r="L10" s="378"/>
      <c r="M10" s="379"/>
      <c r="N10" s="378" t="s">
        <v>552</v>
      </c>
      <c r="O10" s="379">
        <v>42369</v>
      </c>
      <c r="P10" s="378" t="s">
        <v>1</v>
      </c>
      <c r="Q10" s="379" t="s">
        <v>1</v>
      </c>
      <c r="R10" s="378"/>
      <c r="S10" s="379"/>
      <c r="T10" s="378"/>
      <c r="U10" s="379"/>
      <c r="V10" s="457"/>
      <c r="W10" s="457"/>
      <c r="X10" s="378"/>
      <c r="Y10" s="379"/>
      <c r="Z10" s="378"/>
      <c r="AA10" s="379"/>
      <c r="AB10" s="378"/>
      <c r="AC10" s="379"/>
    </row>
    <row r="11" spans="1:29" s="411" customFormat="1" ht="13.5" customHeight="1">
      <c r="A11" s="432" t="s">
        <v>386</v>
      </c>
      <c r="B11" s="438"/>
      <c r="C11" s="439" t="s">
        <v>387</v>
      </c>
      <c r="D11" s="369"/>
      <c r="E11" s="531"/>
      <c r="F11" s="369"/>
      <c r="G11" s="531"/>
      <c r="H11" s="369"/>
      <c r="I11" s="531"/>
      <c r="J11" s="369"/>
      <c r="K11" s="531"/>
      <c r="L11" s="369"/>
      <c r="M11" s="531"/>
      <c r="N11" s="369"/>
      <c r="O11" s="531"/>
      <c r="P11" s="369"/>
      <c r="Q11" s="531"/>
      <c r="R11" s="369"/>
      <c r="S11" s="531"/>
      <c r="T11" s="369"/>
      <c r="U11" s="531"/>
      <c r="V11" s="369"/>
      <c r="W11" s="531"/>
      <c r="X11" s="369"/>
      <c r="Y11" s="531"/>
      <c r="Z11" s="369"/>
      <c r="AA11" s="531"/>
      <c r="AB11" s="369"/>
      <c r="AC11" s="531"/>
    </row>
    <row r="12" spans="1:29" s="411" customFormat="1" ht="13.5" customHeight="1">
      <c r="A12" s="432"/>
      <c r="B12" s="438"/>
      <c r="C12" s="439"/>
      <c r="D12" s="369"/>
      <c r="E12" s="531"/>
      <c r="F12" s="369"/>
      <c r="G12" s="531"/>
      <c r="H12" s="369"/>
      <c r="I12" s="531"/>
      <c r="J12" s="369"/>
      <c r="K12" s="531"/>
      <c r="L12" s="369"/>
      <c r="M12" s="531"/>
      <c r="N12" s="369"/>
      <c r="O12" s="531"/>
      <c r="P12" s="369"/>
      <c r="Q12" s="531"/>
      <c r="R12" s="369"/>
      <c r="S12" s="531"/>
      <c r="T12" s="369"/>
      <c r="U12" s="531"/>
      <c r="V12" s="369"/>
      <c r="W12" s="531"/>
      <c r="X12" s="369"/>
      <c r="Y12" s="531"/>
      <c r="Z12" s="369"/>
      <c r="AA12" s="531"/>
      <c r="AB12" s="369"/>
      <c r="AC12" s="531"/>
    </row>
    <row r="13" spans="1:29" s="411" customFormat="1" ht="13.5" customHeight="1">
      <c r="A13" s="440"/>
      <c r="B13" s="441"/>
      <c r="C13" s="442" t="s">
        <v>388</v>
      </c>
      <c r="D13" s="614">
        <f>(11/14)+1</f>
        <v>1.7857142857142856</v>
      </c>
      <c r="E13" s="615"/>
      <c r="F13" s="614">
        <f>2</f>
        <v>2</v>
      </c>
      <c r="G13" s="615"/>
      <c r="H13" s="614">
        <v>2</v>
      </c>
      <c r="I13" s="615"/>
      <c r="J13" s="614">
        <v>2</v>
      </c>
      <c r="K13" s="615"/>
      <c r="L13" s="614">
        <v>2</v>
      </c>
      <c r="M13" s="615"/>
      <c r="N13" s="614">
        <f>3</f>
        <v>3</v>
      </c>
      <c r="O13" s="615"/>
      <c r="P13" s="614">
        <f>2</f>
        <v>2</v>
      </c>
      <c r="Q13" s="615"/>
      <c r="R13" s="614">
        <v>2</v>
      </c>
      <c r="S13" s="615"/>
      <c r="T13" s="614">
        <f>2</f>
        <v>2</v>
      </c>
      <c r="U13" s="615"/>
      <c r="V13" s="614">
        <v>2</v>
      </c>
      <c r="W13" s="615"/>
      <c r="X13" s="614">
        <v>2</v>
      </c>
      <c r="Y13" s="615"/>
      <c r="Z13" s="614">
        <v>2</v>
      </c>
      <c r="AA13" s="615"/>
      <c r="AB13" s="614">
        <f>1+(5/14)</f>
        <v>1.3571428571428572</v>
      </c>
      <c r="AC13" s="615"/>
    </row>
    <row r="14" spans="1:29" s="411" customFormat="1" ht="13.5" customHeight="1">
      <c r="A14" s="440" t="s">
        <v>389</v>
      </c>
      <c r="B14" s="441"/>
      <c r="C14" s="442" t="s">
        <v>390</v>
      </c>
      <c r="D14" s="614">
        <f>+D13</f>
        <v>1.7857142857142856</v>
      </c>
      <c r="E14" s="615"/>
      <c r="F14" s="614">
        <f>D14+F13</f>
        <v>3.7857142857142856</v>
      </c>
      <c r="G14" s="615"/>
      <c r="H14" s="614">
        <f>F14+H13</f>
        <v>5.785714285714286</v>
      </c>
      <c r="I14" s="615"/>
      <c r="J14" s="614">
        <f>H14+J13</f>
        <v>7.785714285714286</v>
      </c>
      <c r="K14" s="615"/>
      <c r="L14" s="614">
        <f>J14+L13</f>
        <v>9.785714285714285</v>
      </c>
      <c r="M14" s="615"/>
      <c r="N14" s="614">
        <f>L14+N13</f>
        <v>12.785714285714285</v>
      </c>
      <c r="O14" s="615"/>
      <c r="P14" s="614">
        <f>N14+P13</f>
        <v>14.785714285714285</v>
      </c>
      <c r="Q14" s="615"/>
      <c r="R14" s="614">
        <f>P14+R13</f>
        <v>16.785714285714285</v>
      </c>
      <c r="S14" s="615"/>
      <c r="T14" s="614">
        <f>R14+T13</f>
        <v>18.785714285714285</v>
      </c>
      <c r="U14" s="615"/>
      <c r="V14" s="614">
        <f>T14+V13</f>
        <v>20.785714285714285</v>
      </c>
      <c r="W14" s="615"/>
      <c r="X14" s="614">
        <f>V14+X13</f>
        <v>22.785714285714285</v>
      </c>
      <c r="Y14" s="615"/>
      <c r="Z14" s="614">
        <f>X14+Z13</f>
        <v>24.785714285714285</v>
      </c>
      <c r="AA14" s="615"/>
      <c r="AB14" s="614">
        <f>Z14+AB13</f>
        <v>26.142857142857142</v>
      </c>
      <c r="AC14" s="615"/>
    </row>
    <row r="15" spans="1:29" s="411" customFormat="1" ht="13.5" customHeight="1">
      <c r="A15" s="386">
        <f>26.14</f>
        <v>26.14</v>
      </c>
      <c r="B15" s="387"/>
      <c r="C15" s="442" t="s">
        <v>391</v>
      </c>
      <c r="D15" s="614">
        <f>$A$15-D14</f>
        <v>24.354285714285716</v>
      </c>
      <c r="E15" s="615"/>
      <c r="F15" s="614">
        <f>$A$15-F14</f>
        <v>22.354285714285716</v>
      </c>
      <c r="G15" s="615"/>
      <c r="H15" s="614">
        <f>$A$15-H14</f>
        <v>20.354285714285716</v>
      </c>
      <c r="I15" s="615"/>
      <c r="J15" s="614">
        <f>$A$15-J14</f>
        <v>18.354285714285716</v>
      </c>
      <c r="K15" s="615"/>
      <c r="L15" s="614">
        <f>$A$15-L14</f>
        <v>16.354285714285716</v>
      </c>
      <c r="M15" s="615"/>
      <c r="N15" s="614">
        <f>L15-N13</f>
        <v>13.354285714285716</v>
      </c>
      <c r="O15" s="615"/>
      <c r="P15" s="614">
        <f>N15-P13</f>
        <v>11.354285714285716</v>
      </c>
      <c r="Q15" s="615"/>
      <c r="R15" s="614">
        <f>P15-R13</f>
        <v>9.354285714285716</v>
      </c>
      <c r="S15" s="615"/>
      <c r="T15" s="614">
        <f>R15-T13</f>
        <v>7.354285714285716</v>
      </c>
      <c r="U15" s="615"/>
      <c r="V15" s="614">
        <f>T15-V13</f>
        <v>5.354285714285716</v>
      </c>
      <c r="W15" s="615"/>
      <c r="X15" s="614">
        <f>V15-X13</f>
        <v>3.354285714285716</v>
      </c>
      <c r="Y15" s="615"/>
      <c r="Z15" s="614">
        <f>X15-Z13</f>
        <v>1.3542857142857159</v>
      </c>
      <c r="AA15" s="615"/>
      <c r="AB15" s="614">
        <f>Z15-AB13</f>
        <v>-0.002857142857141337</v>
      </c>
      <c r="AC15" s="615"/>
    </row>
    <row r="16" spans="1:29" s="411" customFormat="1" ht="13.5" customHeight="1" thickBot="1">
      <c r="A16" s="435"/>
      <c r="B16" s="436"/>
      <c r="C16" s="436"/>
      <c r="D16" s="616"/>
      <c r="E16" s="617"/>
      <c r="F16" s="369"/>
      <c r="G16" s="391"/>
      <c r="H16" s="369"/>
      <c r="I16" s="391"/>
      <c r="J16" s="369"/>
      <c r="K16" s="391"/>
      <c r="L16" s="369"/>
      <c r="M16" s="391"/>
      <c r="N16" s="369"/>
      <c r="O16" s="391"/>
      <c r="P16" s="369"/>
      <c r="Q16" s="391"/>
      <c r="R16" s="369"/>
      <c r="S16" s="391"/>
      <c r="T16" s="369"/>
      <c r="U16" s="391"/>
      <c r="V16" s="369"/>
      <c r="W16" s="391"/>
      <c r="X16" s="369"/>
      <c r="Y16" s="391"/>
      <c r="Z16" s="369"/>
      <c r="AA16" s="391"/>
      <c r="AB16" s="370"/>
      <c r="AC16" s="372"/>
    </row>
    <row r="17" spans="1:29" s="411" customFormat="1" ht="9.75" customHeight="1">
      <c r="A17" s="430"/>
      <c r="B17" s="431"/>
      <c r="C17" s="431"/>
      <c r="D17" s="388"/>
      <c r="E17" s="389"/>
      <c r="F17" s="373"/>
      <c r="G17" s="374"/>
      <c r="H17" s="373"/>
      <c r="I17" s="374"/>
      <c r="J17" s="373"/>
      <c r="K17" s="374"/>
      <c r="L17" s="373"/>
      <c r="M17" s="374"/>
      <c r="N17" s="373"/>
      <c r="O17" s="374"/>
      <c r="P17" s="373"/>
      <c r="Q17" s="374"/>
      <c r="R17" s="373"/>
      <c r="S17" s="374"/>
      <c r="T17" s="373"/>
      <c r="U17" s="374"/>
      <c r="V17" s="373"/>
      <c r="W17" s="374"/>
      <c r="X17" s="373"/>
      <c r="Y17" s="374"/>
      <c r="Z17" s="373"/>
      <c r="AA17" s="374"/>
      <c r="AB17" s="369"/>
      <c r="AC17" s="391"/>
    </row>
    <row r="18" spans="1:29" s="411" customFormat="1" ht="13.5" customHeight="1">
      <c r="A18" s="430"/>
      <c r="B18" s="431"/>
      <c r="C18" s="377" t="s">
        <v>381</v>
      </c>
      <c r="D18" s="530"/>
      <c r="E18" s="531"/>
      <c r="F18" s="369"/>
      <c r="G18" s="391"/>
      <c r="H18" s="369"/>
      <c r="I18" s="391"/>
      <c r="J18" s="369"/>
      <c r="K18" s="391"/>
      <c r="L18" s="369"/>
      <c r="M18" s="391"/>
      <c r="N18" s="369"/>
      <c r="O18" s="391"/>
      <c r="P18" s="369"/>
      <c r="Q18" s="391"/>
      <c r="R18" s="369"/>
      <c r="S18" s="391"/>
      <c r="T18" s="369"/>
      <c r="U18" s="391"/>
      <c r="V18" s="369"/>
      <c r="W18" s="391"/>
      <c r="X18" s="369"/>
      <c r="Y18" s="391"/>
      <c r="Z18" s="369"/>
      <c r="AA18" s="391"/>
      <c r="AB18" s="378" t="s">
        <v>538</v>
      </c>
      <c r="AC18" s="379">
        <v>42186</v>
      </c>
    </row>
    <row r="19" spans="1:29" s="380" customFormat="1" ht="13.5" customHeight="1">
      <c r="A19" s="375" t="s">
        <v>480</v>
      </c>
      <c r="B19" s="376" t="s">
        <v>380</v>
      </c>
      <c r="C19" s="385"/>
      <c r="D19" s="530"/>
      <c r="E19" s="531"/>
      <c r="F19" s="378"/>
      <c r="G19" s="379"/>
      <c r="H19" s="378" t="s">
        <v>528</v>
      </c>
      <c r="I19" s="379">
        <v>42258</v>
      </c>
      <c r="J19" s="378" t="s">
        <v>529</v>
      </c>
      <c r="K19" s="379">
        <v>42286</v>
      </c>
      <c r="L19" s="378" t="s">
        <v>530</v>
      </c>
      <c r="M19" s="379">
        <v>42314</v>
      </c>
      <c r="N19" s="378" t="s">
        <v>531</v>
      </c>
      <c r="O19" s="379">
        <v>42342</v>
      </c>
      <c r="P19" s="378" t="s">
        <v>532</v>
      </c>
      <c r="Q19" s="379">
        <v>42019</v>
      </c>
      <c r="R19" s="378" t="s">
        <v>533</v>
      </c>
      <c r="S19" s="379">
        <v>42047</v>
      </c>
      <c r="T19" s="378" t="s">
        <v>534</v>
      </c>
      <c r="U19" s="379">
        <v>42074</v>
      </c>
      <c r="V19" s="378" t="s">
        <v>535</v>
      </c>
      <c r="W19" s="379">
        <v>42102</v>
      </c>
      <c r="X19" s="378" t="s">
        <v>536</v>
      </c>
      <c r="Y19" s="379">
        <v>42130</v>
      </c>
      <c r="Z19" s="378" t="s">
        <v>537</v>
      </c>
      <c r="AA19" s="379">
        <v>42158</v>
      </c>
      <c r="AB19" s="378" t="s">
        <v>551</v>
      </c>
      <c r="AC19" s="379">
        <v>42200</v>
      </c>
    </row>
    <row r="20" spans="1:29" s="380" customFormat="1" ht="13.5" customHeight="1">
      <c r="A20" s="375" t="s">
        <v>481</v>
      </c>
      <c r="B20" s="381"/>
      <c r="C20" s="385"/>
      <c r="D20" s="530"/>
      <c r="E20" s="531"/>
      <c r="F20" s="378"/>
      <c r="G20" s="379"/>
      <c r="H20" s="378" t="s">
        <v>541</v>
      </c>
      <c r="I20" s="379">
        <v>42272</v>
      </c>
      <c r="J20" s="378" t="s">
        <v>542</v>
      </c>
      <c r="K20" s="379">
        <v>42300</v>
      </c>
      <c r="L20" s="378" t="s">
        <v>543</v>
      </c>
      <c r="M20" s="379">
        <v>42328</v>
      </c>
      <c r="N20" s="378" t="s">
        <v>544</v>
      </c>
      <c r="O20" s="379">
        <v>42356</v>
      </c>
      <c r="P20" s="378" t="s">
        <v>545</v>
      </c>
      <c r="Q20" s="379">
        <v>42033</v>
      </c>
      <c r="R20" s="378" t="s">
        <v>546</v>
      </c>
      <c r="S20" s="379">
        <v>42061</v>
      </c>
      <c r="T20" s="378" t="s">
        <v>547</v>
      </c>
      <c r="U20" s="379">
        <v>42088</v>
      </c>
      <c r="V20" s="378" t="s">
        <v>548</v>
      </c>
      <c r="W20" s="379">
        <v>42116</v>
      </c>
      <c r="X20" s="378" t="s">
        <v>549</v>
      </c>
      <c r="Y20" s="379">
        <v>42144</v>
      </c>
      <c r="Z20" s="378" t="s">
        <v>550</v>
      </c>
      <c r="AA20" s="379">
        <v>42172</v>
      </c>
      <c r="AB20" s="378" t="s">
        <v>553</v>
      </c>
      <c r="AC20" s="379">
        <v>42214</v>
      </c>
    </row>
    <row r="21" spans="1:29" s="380" customFormat="1" ht="13.5" customHeight="1">
      <c r="A21" s="382"/>
      <c r="B21" s="381"/>
      <c r="C21" s="385"/>
      <c r="D21" s="530"/>
      <c r="E21" s="531"/>
      <c r="F21" s="378"/>
      <c r="G21" s="379"/>
      <c r="H21" s="378"/>
      <c r="I21" s="379"/>
      <c r="J21" s="457"/>
      <c r="K21" s="457"/>
      <c r="L21" s="378"/>
      <c r="M21" s="379"/>
      <c r="N21" s="378" t="s">
        <v>552</v>
      </c>
      <c r="O21" s="379">
        <v>42369</v>
      </c>
      <c r="P21" s="378" t="s">
        <v>1</v>
      </c>
      <c r="Q21" s="379" t="s">
        <v>1</v>
      </c>
      <c r="R21" s="378"/>
      <c r="S21" s="379"/>
      <c r="T21" s="378" t="s">
        <v>1</v>
      </c>
      <c r="U21" s="379" t="s">
        <v>1</v>
      </c>
      <c r="V21" s="457"/>
      <c r="W21" s="457"/>
      <c r="X21" s="378"/>
      <c r="Y21" s="379"/>
      <c r="Z21" s="378"/>
      <c r="AA21" s="379"/>
      <c r="AB21" s="369" t="s">
        <v>554</v>
      </c>
      <c r="AC21" s="379">
        <v>42228</v>
      </c>
    </row>
    <row r="22" spans="1:29" s="411" customFormat="1" ht="13.5" customHeight="1">
      <c r="A22" s="382"/>
      <c r="B22" s="438"/>
      <c r="C22" s="385"/>
      <c r="D22" s="530"/>
      <c r="E22" s="531"/>
      <c r="F22" s="369"/>
      <c r="G22" s="531"/>
      <c r="H22" s="369"/>
      <c r="I22" s="531"/>
      <c r="J22" s="369"/>
      <c r="K22" s="531"/>
      <c r="L22" s="369"/>
      <c r="M22" s="531"/>
      <c r="N22" s="369"/>
      <c r="O22" s="531"/>
      <c r="P22" s="369"/>
      <c r="Q22" s="531"/>
      <c r="R22" s="369"/>
      <c r="S22" s="531"/>
      <c r="T22" s="369"/>
      <c r="U22" s="531"/>
      <c r="V22" s="369"/>
      <c r="W22" s="531"/>
      <c r="X22" s="369"/>
      <c r="Y22" s="531"/>
      <c r="Z22" s="369"/>
      <c r="AA22" s="531"/>
      <c r="AB22" s="369" t="s">
        <v>555</v>
      </c>
      <c r="AC22" s="379">
        <v>42242</v>
      </c>
    </row>
    <row r="23" spans="1:29" s="411" customFormat="1" ht="13.5" customHeight="1">
      <c r="A23" s="382"/>
      <c r="B23" s="438"/>
      <c r="C23" s="385"/>
      <c r="D23" s="530"/>
      <c r="E23" s="531"/>
      <c r="F23" s="369"/>
      <c r="G23" s="531"/>
      <c r="H23" s="369"/>
      <c r="I23" s="531"/>
      <c r="J23" s="369"/>
      <c r="K23" s="531"/>
      <c r="L23" s="369"/>
      <c r="M23" s="531"/>
      <c r="N23" s="369"/>
      <c r="O23" s="531"/>
      <c r="P23" s="369"/>
      <c r="Q23" s="531"/>
      <c r="R23" s="369"/>
      <c r="S23" s="531"/>
      <c r="T23" s="369"/>
      <c r="U23" s="531"/>
      <c r="V23" s="369"/>
      <c r="W23" s="531"/>
      <c r="X23" s="369"/>
      <c r="Y23" s="531"/>
      <c r="Z23" s="369"/>
      <c r="AA23" s="531"/>
      <c r="AB23" s="369" t="s">
        <v>1</v>
      </c>
      <c r="AC23" s="379" t="s">
        <v>1</v>
      </c>
    </row>
    <row r="24" spans="1:29" s="411" customFormat="1" ht="13.5" customHeight="1">
      <c r="A24" s="384"/>
      <c r="B24" s="441"/>
      <c r="C24" s="442" t="s">
        <v>388</v>
      </c>
      <c r="D24" s="530"/>
      <c r="E24" s="531"/>
      <c r="F24" s="616"/>
      <c r="G24" s="617"/>
      <c r="H24" s="614">
        <f>1+(14/14)</f>
        <v>2</v>
      </c>
      <c r="I24" s="615"/>
      <c r="J24" s="614">
        <v>2</v>
      </c>
      <c r="K24" s="615"/>
      <c r="L24" s="614">
        <v>2</v>
      </c>
      <c r="M24" s="615"/>
      <c r="N24" s="614">
        <f>3</f>
        <v>3</v>
      </c>
      <c r="O24" s="615"/>
      <c r="P24" s="614">
        <f>2</f>
        <v>2</v>
      </c>
      <c r="Q24" s="615"/>
      <c r="R24" s="614">
        <v>2</v>
      </c>
      <c r="S24" s="615"/>
      <c r="T24" s="614">
        <v>2</v>
      </c>
      <c r="U24" s="615"/>
      <c r="V24" s="614">
        <v>2</v>
      </c>
      <c r="W24" s="615"/>
      <c r="X24" s="614">
        <v>2</v>
      </c>
      <c r="Y24" s="615"/>
      <c r="Z24" s="614">
        <v>2</v>
      </c>
      <c r="AA24" s="615"/>
      <c r="AB24" s="614">
        <f>5</f>
        <v>5</v>
      </c>
      <c r="AC24" s="615"/>
    </row>
    <row r="25" spans="1:29" s="411" customFormat="1" ht="13.5" customHeight="1">
      <c r="A25" s="440" t="s">
        <v>389</v>
      </c>
      <c r="B25" s="441"/>
      <c r="C25" s="442" t="s">
        <v>390</v>
      </c>
      <c r="D25" s="530"/>
      <c r="E25" s="531"/>
      <c r="F25" s="616"/>
      <c r="G25" s="617"/>
      <c r="H25" s="614">
        <f>H24</f>
        <v>2</v>
      </c>
      <c r="I25" s="615"/>
      <c r="J25" s="614">
        <f>H25+J24</f>
        <v>4</v>
      </c>
      <c r="K25" s="615"/>
      <c r="L25" s="614">
        <f>J25+L24</f>
        <v>6</v>
      </c>
      <c r="M25" s="615"/>
      <c r="N25" s="614">
        <f>L25+N24</f>
        <v>9</v>
      </c>
      <c r="O25" s="615"/>
      <c r="P25" s="614">
        <f>N25+P24</f>
        <v>11</v>
      </c>
      <c r="Q25" s="615"/>
      <c r="R25" s="614">
        <f>P25+R24</f>
        <v>13</v>
      </c>
      <c r="S25" s="615"/>
      <c r="T25" s="614">
        <f>R25+T24</f>
        <v>15</v>
      </c>
      <c r="U25" s="615"/>
      <c r="V25" s="614">
        <f>T25+V24</f>
        <v>17</v>
      </c>
      <c r="W25" s="615"/>
      <c r="X25" s="614">
        <f>V25+X24</f>
        <v>19</v>
      </c>
      <c r="Y25" s="615"/>
      <c r="Z25" s="614">
        <f>X25+Z24</f>
        <v>21</v>
      </c>
      <c r="AA25" s="615"/>
      <c r="AB25" s="614">
        <f>Z25+AB24</f>
        <v>26</v>
      </c>
      <c r="AC25" s="615"/>
    </row>
    <row r="26" spans="1:29" s="411" customFormat="1" ht="13.5" customHeight="1">
      <c r="A26" s="386">
        <f>26</f>
        <v>26</v>
      </c>
      <c r="B26" s="387"/>
      <c r="C26" s="442" t="s">
        <v>391</v>
      </c>
      <c r="D26" s="616"/>
      <c r="E26" s="617"/>
      <c r="F26" s="616"/>
      <c r="G26" s="617"/>
      <c r="H26" s="614">
        <f>$A$26-H25</f>
        <v>24</v>
      </c>
      <c r="I26" s="615"/>
      <c r="J26" s="614">
        <f>$A$26-J25</f>
        <v>22</v>
      </c>
      <c r="K26" s="615"/>
      <c r="L26" s="614">
        <f>$A$26-L25</f>
        <v>20</v>
      </c>
      <c r="M26" s="615"/>
      <c r="N26" s="614">
        <f>L26-N24</f>
        <v>17</v>
      </c>
      <c r="O26" s="615"/>
      <c r="P26" s="614">
        <f>N26-P24</f>
        <v>15</v>
      </c>
      <c r="Q26" s="615"/>
      <c r="R26" s="614">
        <f>P26-R24</f>
        <v>13</v>
      </c>
      <c r="S26" s="615"/>
      <c r="T26" s="614">
        <f>R26-T24</f>
        <v>11</v>
      </c>
      <c r="U26" s="615"/>
      <c r="V26" s="614">
        <f>T26-V24</f>
        <v>9</v>
      </c>
      <c r="W26" s="615"/>
      <c r="X26" s="614">
        <f>V26-X24</f>
        <v>7</v>
      </c>
      <c r="Y26" s="615"/>
      <c r="Z26" s="614">
        <f>X26-Z24</f>
        <v>5</v>
      </c>
      <c r="AA26" s="615"/>
      <c r="AB26" s="614">
        <f>Z26-AB24</f>
        <v>0</v>
      </c>
      <c r="AC26" s="615"/>
    </row>
    <row r="27" spans="1:29" s="411" customFormat="1" ht="13.5" customHeight="1" thickBot="1">
      <c r="A27" s="435"/>
      <c r="B27" s="436"/>
      <c r="C27" s="436"/>
      <c r="D27" s="370"/>
      <c r="E27" s="372"/>
      <c r="F27" s="370"/>
      <c r="G27" s="372"/>
      <c r="H27" s="370"/>
      <c r="I27" s="372"/>
      <c r="J27" s="370"/>
      <c r="K27" s="372"/>
      <c r="L27" s="370"/>
      <c r="M27" s="372"/>
      <c r="N27" s="370"/>
      <c r="O27" s="372"/>
      <c r="P27" s="370"/>
      <c r="Q27" s="372"/>
      <c r="R27" s="370"/>
      <c r="S27" s="372"/>
      <c r="T27" s="370"/>
      <c r="U27" s="372"/>
      <c r="V27" s="370"/>
      <c r="W27" s="372"/>
      <c r="X27" s="370"/>
      <c r="Y27" s="372"/>
      <c r="Z27" s="370"/>
      <c r="AA27" s="372"/>
      <c r="AB27" s="370"/>
      <c r="AC27" s="372"/>
    </row>
    <row r="28" spans="1:29" s="411" customFormat="1" ht="9.75" customHeight="1">
      <c r="A28" s="430"/>
      <c r="B28" s="431"/>
      <c r="C28" s="437"/>
      <c r="D28" s="373"/>
      <c r="E28" s="391"/>
      <c r="F28" s="369"/>
      <c r="G28" s="391"/>
      <c r="H28" s="369"/>
      <c r="I28" s="391"/>
      <c r="J28" s="369"/>
      <c r="K28" s="391"/>
      <c r="L28" s="369"/>
      <c r="M28" s="391"/>
      <c r="N28" s="369"/>
      <c r="O28" s="391"/>
      <c r="P28" s="369"/>
      <c r="Q28" s="391"/>
      <c r="R28" s="369"/>
      <c r="S28" s="391"/>
      <c r="T28" s="369"/>
      <c r="U28" s="391"/>
      <c r="V28" s="369"/>
      <c r="W28" s="391"/>
      <c r="X28" s="369"/>
      <c r="Y28" s="391"/>
      <c r="Z28" s="369"/>
      <c r="AA28" s="391"/>
      <c r="AB28" s="369"/>
      <c r="AC28" s="391"/>
    </row>
    <row r="29" spans="1:29" s="380" customFormat="1" ht="13.5" customHeight="1">
      <c r="A29" s="375" t="s">
        <v>392</v>
      </c>
      <c r="B29" s="376" t="s">
        <v>393</v>
      </c>
      <c r="C29" s="377" t="s">
        <v>394</v>
      </c>
      <c r="D29" s="369" t="s">
        <v>494</v>
      </c>
      <c r="E29" s="534" t="s">
        <v>526</v>
      </c>
      <c r="F29" s="378" t="s">
        <v>527</v>
      </c>
      <c r="G29" s="379">
        <v>42220</v>
      </c>
      <c r="H29" s="378" t="s">
        <v>528</v>
      </c>
      <c r="I29" s="379">
        <v>42258</v>
      </c>
      <c r="J29" s="378" t="s">
        <v>529</v>
      </c>
      <c r="K29" s="379">
        <v>42286</v>
      </c>
      <c r="L29" s="378" t="s">
        <v>530</v>
      </c>
      <c r="M29" s="379">
        <v>42314</v>
      </c>
      <c r="N29" s="378" t="s">
        <v>531</v>
      </c>
      <c r="O29" s="379">
        <v>42342</v>
      </c>
      <c r="P29" s="378" t="s">
        <v>532</v>
      </c>
      <c r="Q29" s="379">
        <v>42019</v>
      </c>
      <c r="R29" s="378" t="s">
        <v>533</v>
      </c>
      <c r="S29" s="379">
        <v>42047</v>
      </c>
      <c r="T29" s="378" t="s">
        <v>534</v>
      </c>
      <c r="U29" s="379">
        <v>42074</v>
      </c>
      <c r="V29" s="378" t="s">
        <v>535</v>
      </c>
      <c r="W29" s="379">
        <v>42102</v>
      </c>
      <c r="X29" s="378" t="s">
        <v>536</v>
      </c>
      <c r="Y29" s="379">
        <v>42130</v>
      </c>
      <c r="Z29" s="378" t="s">
        <v>537</v>
      </c>
      <c r="AA29" s="379">
        <v>42158</v>
      </c>
      <c r="AB29" s="378" t="s">
        <v>538</v>
      </c>
      <c r="AC29" s="379">
        <v>42186</v>
      </c>
    </row>
    <row r="30" spans="1:29" s="380" customFormat="1" ht="13.5" customHeight="1">
      <c r="A30" s="375"/>
      <c r="B30" s="381"/>
      <c r="C30" s="443"/>
      <c r="D30" s="378" t="s">
        <v>539</v>
      </c>
      <c r="E30" s="379">
        <v>42216</v>
      </c>
      <c r="F30" s="378" t="s">
        <v>540</v>
      </c>
      <c r="G30" s="379">
        <v>42234</v>
      </c>
      <c r="H30" s="378" t="s">
        <v>541</v>
      </c>
      <c r="I30" s="379">
        <v>42272</v>
      </c>
      <c r="J30" s="378" t="s">
        <v>542</v>
      </c>
      <c r="K30" s="379">
        <v>42300</v>
      </c>
      <c r="L30" s="378" t="s">
        <v>543</v>
      </c>
      <c r="M30" s="379">
        <v>42328</v>
      </c>
      <c r="N30" s="378" t="s">
        <v>544</v>
      </c>
      <c r="O30" s="379">
        <v>42356</v>
      </c>
      <c r="P30" s="378" t="s">
        <v>545</v>
      </c>
      <c r="Q30" s="379">
        <v>42033</v>
      </c>
      <c r="R30" s="378" t="s">
        <v>546</v>
      </c>
      <c r="S30" s="379">
        <v>42061</v>
      </c>
      <c r="T30" s="378" t="s">
        <v>547</v>
      </c>
      <c r="U30" s="379">
        <v>42088</v>
      </c>
      <c r="V30" s="378" t="s">
        <v>548</v>
      </c>
      <c r="W30" s="379">
        <v>42116</v>
      </c>
      <c r="X30" s="378" t="s">
        <v>549</v>
      </c>
      <c r="Y30" s="379">
        <v>42144</v>
      </c>
      <c r="Z30" s="378" t="s">
        <v>550</v>
      </c>
      <c r="AA30" s="379">
        <v>42172</v>
      </c>
      <c r="AB30" s="378" t="s">
        <v>551</v>
      </c>
      <c r="AC30" s="379">
        <v>42200</v>
      </c>
    </row>
    <row r="31" spans="1:29" s="380" customFormat="1" ht="13.5" customHeight="1">
      <c r="A31" s="375"/>
      <c r="B31" s="381"/>
      <c r="C31" s="443"/>
      <c r="D31" s="378"/>
      <c r="E31" s="540"/>
      <c r="F31" s="378" t="s">
        <v>1</v>
      </c>
      <c r="G31" s="379" t="s">
        <v>1</v>
      </c>
      <c r="H31" s="378" t="s">
        <v>1</v>
      </c>
      <c r="I31" s="379" t="s">
        <v>1</v>
      </c>
      <c r="J31" s="457"/>
      <c r="K31" s="457"/>
      <c r="L31" s="378"/>
      <c r="M31" s="379"/>
      <c r="N31" s="378" t="s">
        <v>552</v>
      </c>
      <c r="O31" s="379">
        <v>42369</v>
      </c>
      <c r="P31" s="378" t="s">
        <v>1</v>
      </c>
      <c r="Q31" s="379" t="s">
        <v>1</v>
      </c>
      <c r="R31" s="378"/>
      <c r="S31" s="379"/>
      <c r="T31" s="378"/>
      <c r="U31" s="379"/>
      <c r="V31" s="457"/>
      <c r="W31" s="457"/>
      <c r="X31" s="378"/>
      <c r="Y31" s="379"/>
      <c r="Z31" s="378"/>
      <c r="AA31" s="379"/>
      <c r="AB31" s="378"/>
      <c r="AC31" s="379"/>
    </row>
    <row r="32" spans="1:29" s="411" customFormat="1" ht="13.5" customHeight="1">
      <c r="A32" s="430"/>
      <c r="B32" s="431"/>
      <c r="C32" s="538"/>
      <c r="D32" s="369"/>
      <c r="E32" s="531"/>
      <c r="F32" s="369"/>
      <c r="G32" s="391"/>
      <c r="H32" s="369"/>
      <c r="I32" s="391"/>
      <c r="J32" s="369"/>
      <c r="K32" s="391"/>
      <c r="L32" s="369"/>
      <c r="M32" s="391"/>
      <c r="N32" s="369"/>
      <c r="O32" s="391"/>
      <c r="P32" s="369"/>
      <c r="Q32" s="391"/>
      <c r="R32" s="369"/>
      <c r="S32" s="391"/>
      <c r="T32" s="369"/>
      <c r="U32" s="391"/>
      <c r="V32" s="369"/>
      <c r="W32" s="391"/>
      <c r="X32" s="369"/>
      <c r="Y32" s="391"/>
      <c r="Z32" s="369"/>
      <c r="AA32" s="391"/>
      <c r="AB32" s="369"/>
      <c r="AC32" s="391"/>
    </row>
    <row r="33" spans="1:29" s="411" customFormat="1" ht="13.5" customHeight="1">
      <c r="A33" s="440"/>
      <c r="B33" s="441"/>
      <c r="C33" s="442" t="s">
        <v>388</v>
      </c>
      <c r="D33" s="614">
        <f>(11/14)+1</f>
        <v>1.7857142857142856</v>
      </c>
      <c r="E33" s="615"/>
      <c r="F33" s="614">
        <f>2</f>
        <v>2</v>
      </c>
      <c r="G33" s="615"/>
      <c r="H33" s="614">
        <f>2</f>
        <v>2</v>
      </c>
      <c r="I33" s="615"/>
      <c r="J33" s="614">
        <f>2</f>
        <v>2</v>
      </c>
      <c r="K33" s="615"/>
      <c r="L33" s="614">
        <f>2</f>
        <v>2</v>
      </c>
      <c r="M33" s="615"/>
      <c r="N33" s="614">
        <f>3</f>
        <v>3</v>
      </c>
      <c r="O33" s="615"/>
      <c r="P33" s="614">
        <f>2</f>
        <v>2</v>
      </c>
      <c r="Q33" s="615"/>
      <c r="R33" s="614">
        <v>2</v>
      </c>
      <c r="S33" s="615"/>
      <c r="T33" s="614">
        <v>2</v>
      </c>
      <c r="U33" s="615"/>
      <c r="V33" s="614">
        <v>2</v>
      </c>
      <c r="W33" s="615"/>
      <c r="X33" s="614">
        <v>2</v>
      </c>
      <c r="Y33" s="615"/>
      <c r="Z33" s="614">
        <v>2</v>
      </c>
      <c r="AA33" s="615"/>
      <c r="AB33" s="614">
        <f>1+(5/14)</f>
        <v>1.3571428571428572</v>
      </c>
      <c r="AC33" s="615"/>
    </row>
    <row r="34" spans="1:29" s="411" customFormat="1" ht="13.5" customHeight="1">
      <c r="A34" s="440" t="s">
        <v>389</v>
      </c>
      <c r="B34" s="441"/>
      <c r="C34" s="442" t="s">
        <v>390</v>
      </c>
      <c r="D34" s="614">
        <f>+D33</f>
        <v>1.7857142857142856</v>
      </c>
      <c r="E34" s="615"/>
      <c r="F34" s="614">
        <f>D34+F33</f>
        <v>3.7857142857142856</v>
      </c>
      <c r="G34" s="615"/>
      <c r="H34" s="614">
        <f>F34+H33</f>
        <v>5.785714285714286</v>
      </c>
      <c r="I34" s="615"/>
      <c r="J34" s="614">
        <f>H34+J33</f>
        <v>7.785714285714286</v>
      </c>
      <c r="K34" s="615"/>
      <c r="L34" s="614">
        <f>J34+L33</f>
        <v>9.785714285714285</v>
      </c>
      <c r="M34" s="615"/>
      <c r="N34" s="614">
        <f>L34+N33</f>
        <v>12.785714285714285</v>
      </c>
      <c r="O34" s="615"/>
      <c r="P34" s="614">
        <f>N34+P33</f>
        <v>14.785714285714285</v>
      </c>
      <c r="Q34" s="615"/>
      <c r="R34" s="614">
        <f>P34+R33</f>
        <v>16.785714285714285</v>
      </c>
      <c r="S34" s="615"/>
      <c r="T34" s="614">
        <f>R34+T33</f>
        <v>18.785714285714285</v>
      </c>
      <c r="U34" s="615"/>
      <c r="V34" s="614">
        <f>T34+V33</f>
        <v>20.785714285714285</v>
      </c>
      <c r="W34" s="615"/>
      <c r="X34" s="614">
        <f>V34+X33</f>
        <v>22.785714285714285</v>
      </c>
      <c r="Y34" s="615"/>
      <c r="Z34" s="614">
        <f>X34+Z33</f>
        <v>24.785714285714285</v>
      </c>
      <c r="AA34" s="615"/>
      <c r="AB34" s="618">
        <f>Z34+AB33</f>
        <v>26.142857142857142</v>
      </c>
      <c r="AC34" s="619"/>
    </row>
    <row r="35" spans="1:29" s="407" customFormat="1" ht="13.5" customHeight="1">
      <c r="A35" s="386">
        <f>26.14</f>
        <v>26.14</v>
      </c>
      <c r="B35" s="387"/>
      <c r="C35" s="442" t="s">
        <v>391</v>
      </c>
      <c r="D35" s="614">
        <f>A35-D34</f>
        <v>24.354285714285716</v>
      </c>
      <c r="E35" s="615"/>
      <c r="F35" s="614">
        <f>D35-F33</f>
        <v>22.354285714285716</v>
      </c>
      <c r="G35" s="615"/>
      <c r="H35" s="614">
        <f>F35-H33</f>
        <v>20.354285714285716</v>
      </c>
      <c r="I35" s="615"/>
      <c r="J35" s="614">
        <f>H35-J33</f>
        <v>18.354285714285716</v>
      </c>
      <c r="K35" s="615"/>
      <c r="L35" s="614">
        <f>J35-L33</f>
        <v>16.354285714285716</v>
      </c>
      <c r="M35" s="615"/>
      <c r="N35" s="614">
        <f>L35-N33</f>
        <v>13.354285714285716</v>
      </c>
      <c r="O35" s="615"/>
      <c r="P35" s="614">
        <f>N35-P33</f>
        <v>11.354285714285716</v>
      </c>
      <c r="Q35" s="615"/>
      <c r="R35" s="614">
        <f>P35-R33</f>
        <v>9.354285714285716</v>
      </c>
      <c r="S35" s="615"/>
      <c r="T35" s="614">
        <f>R35-T33</f>
        <v>7.354285714285716</v>
      </c>
      <c r="U35" s="615"/>
      <c r="V35" s="614">
        <f>T35-V33</f>
        <v>5.354285714285716</v>
      </c>
      <c r="W35" s="615"/>
      <c r="X35" s="614">
        <f>V35-X33</f>
        <v>3.354285714285716</v>
      </c>
      <c r="Y35" s="615"/>
      <c r="Z35" s="614">
        <f>X35-Z33</f>
        <v>1.3542857142857159</v>
      </c>
      <c r="AA35" s="615"/>
      <c r="AB35" s="614">
        <f>Z35-AB33</f>
        <v>-0.002857142857141337</v>
      </c>
      <c r="AC35" s="615"/>
    </row>
    <row r="36" spans="1:29" s="411" customFormat="1" ht="13.5" customHeight="1" thickBot="1">
      <c r="A36" s="435"/>
      <c r="B36" s="436"/>
      <c r="C36" s="436"/>
      <c r="D36" s="370"/>
      <c r="E36" s="372"/>
      <c r="F36" s="370"/>
      <c r="G36" s="372"/>
      <c r="H36" s="370"/>
      <c r="I36" s="372"/>
      <c r="J36" s="370"/>
      <c r="K36" s="372"/>
      <c r="L36" s="370"/>
      <c r="M36" s="372"/>
      <c r="N36" s="370"/>
      <c r="O36" s="372"/>
      <c r="P36" s="370"/>
      <c r="Q36" s="372"/>
      <c r="R36" s="370"/>
      <c r="S36" s="372"/>
      <c r="T36" s="370"/>
      <c r="U36" s="372"/>
      <c r="V36" s="370"/>
      <c r="W36" s="372"/>
      <c r="X36" s="370"/>
      <c r="Y36" s="372"/>
      <c r="Z36" s="370"/>
      <c r="AA36" s="372"/>
      <c r="AB36" s="370"/>
      <c r="AC36" s="372"/>
    </row>
    <row r="37" spans="1:29" s="411" customFormat="1" ht="9.75" customHeight="1">
      <c r="A37" s="430"/>
      <c r="B37" s="431"/>
      <c r="C37" s="431"/>
      <c r="D37" s="369"/>
      <c r="E37" s="391"/>
      <c r="F37" s="369"/>
      <c r="G37" s="391"/>
      <c r="H37" s="369"/>
      <c r="I37" s="391"/>
      <c r="J37" s="369"/>
      <c r="K37" s="391"/>
      <c r="L37" s="369"/>
      <c r="M37" s="391"/>
      <c r="N37" s="369"/>
      <c r="O37" s="391"/>
      <c r="P37" s="369"/>
      <c r="Q37" s="391"/>
      <c r="R37" s="369"/>
      <c r="S37" s="391"/>
      <c r="T37" s="369"/>
      <c r="U37" s="391"/>
      <c r="V37" s="369"/>
      <c r="W37" s="391"/>
      <c r="X37" s="369"/>
      <c r="Y37" s="391"/>
      <c r="Z37" s="369"/>
      <c r="AA37" s="391"/>
      <c r="AB37" s="369"/>
      <c r="AC37" s="391"/>
    </row>
    <row r="38" spans="1:29" s="411" customFormat="1" ht="13.5" customHeight="1">
      <c r="A38" s="432" t="s">
        <v>395</v>
      </c>
      <c r="B38" s="434" t="s">
        <v>396</v>
      </c>
      <c r="C38" s="383" t="s">
        <v>397</v>
      </c>
      <c r="D38" s="369"/>
      <c r="E38" s="531"/>
      <c r="F38" s="369"/>
      <c r="G38" s="531"/>
      <c r="H38" s="369" t="s">
        <v>398</v>
      </c>
      <c r="I38" s="379">
        <v>41897</v>
      </c>
      <c r="J38" s="369" t="s">
        <v>399</v>
      </c>
      <c r="K38" s="379">
        <v>41927</v>
      </c>
      <c r="L38" s="369" t="s">
        <v>400</v>
      </c>
      <c r="M38" s="379">
        <v>41958</v>
      </c>
      <c r="N38" s="369" t="s">
        <v>401</v>
      </c>
      <c r="O38" s="379">
        <v>41989</v>
      </c>
      <c r="P38" s="369" t="s">
        <v>402</v>
      </c>
      <c r="Q38" s="379">
        <v>42019</v>
      </c>
      <c r="R38" s="369" t="s">
        <v>483</v>
      </c>
      <c r="S38" s="379">
        <v>42051</v>
      </c>
      <c r="T38" s="369" t="s">
        <v>484</v>
      </c>
      <c r="U38" s="379">
        <v>42078</v>
      </c>
      <c r="V38" s="369" t="s">
        <v>405</v>
      </c>
      <c r="W38" s="379">
        <v>42109</v>
      </c>
      <c r="X38" s="369" t="s">
        <v>406</v>
      </c>
      <c r="Y38" s="379">
        <v>42140</v>
      </c>
      <c r="Z38" s="369" t="s">
        <v>407</v>
      </c>
      <c r="AA38" s="379">
        <v>42170</v>
      </c>
      <c r="AB38" s="369" t="s">
        <v>408</v>
      </c>
      <c r="AC38" s="379">
        <v>41835</v>
      </c>
    </row>
    <row r="39" spans="1:29" s="411" customFormat="1" ht="13.5" customHeight="1">
      <c r="A39" s="432" t="s">
        <v>409</v>
      </c>
      <c r="B39" s="438"/>
      <c r="C39" s="383" t="s">
        <v>410</v>
      </c>
      <c r="D39" s="369"/>
      <c r="E39" s="531"/>
      <c r="F39" s="369" t="s">
        <v>1</v>
      </c>
      <c r="G39" s="379" t="s">
        <v>1</v>
      </c>
      <c r="H39" s="369" t="s">
        <v>411</v>
      </c>
      <c r="I39" s="379">
        <v>41912</v>
      </c>
      <c r="J39" s="369" t="s">
        <v>412</v>
      </c>
      <c r="K39" s="379">
        <v>41943</v>
      </c>
      <c r="L39" s="369" t="s">
        <v>413</v>
      </c>
      <c r="M39" s="379">
        <v>41972</v>
      </c>
      <c r="N39" s="369" t="s">
        <v>414</v>
      </c>
      <c r="O39" s="379">
        <v>42004</v>
      </c>
      <c r="P39" s="369" t="s">
        <v>415</v>
      </c>
      <c r="Q39" s="379">
        <v>42033</v>
      </c>
      <c r="R39" s="369" t="s">
        <v>485</v>
      </c>
      <c r="S39" s="393" t="s">
        <v>556</v>
      </c>
      <c r="T39" s="369" t="s">
        <v>486</v>
      </c>
      <c r="U39" s="379">
        <v>42094</v>
      </c>
      <c r="V39" s="369" t="s">
        <v>418</v>
      </c>
      <c r="W39" s="379">
        <v>42123</v>
      </c>
      <c r="X39" s="369" t="s">
        <v>419</v>
      </c>
      <c r="Y39" s="379">
        <v>42155</v>
      </c>
      <c r="Z39" s="369" t="s">
        <v>420</v>
      </c>
      <c r="AA39" s="379">
        <v>42185</v>
      </c>
      <c r="AB39" s="369" t="s">
        <v>465</v>
      </c>
      <c r="AC39" s="379">
        <v>42214</v>
      </c>
    </row>
    <row r="40" spans="1:29" s="411" customFormat="1" ht="13.5" customHeight="1">
      <c r="A40" s="432" t="s">
        <v>459</v>
      </c>
      <c r="B40" s="438"/>
      <c r="C40" s="383" t="s">
        <v>421</v>
      </c>
      <c r="D40" s="369"/>
      <c r="E40" s="531"/>
      <c r="F40" s="369"/>
      <c r="G40" s="531"/>
      <c r="H40" s="369"/>
      <c r="I40" s="531"/>
      <c r="J40" s="369"/>
      <c r="K40" s="531"/>
      <c r="L40" s="369"/>
      <c r="M40" s="531"/>
      <c r="N40" s="369"/>
      <c r="O40" s="531"/>
      <c r="P40" s="369"/>
      <c r="Q40" s="531"/>
      <c r="R40" s="369"/>
      <c r="S40" s="531"/>
      <c r="T40" s="369"/>
      <c r="U40" s="531"/>
      <c r="V40" s="369"/>
      <c r="W40" s="531"/>
      <c r="X40" s="369"/>
      <c r="Y40" s="531"/>
      <c r="Z40" s="369"/>
      <c r="AA40" s="531"/>
      <c r="AB40" s="369" t="s">
        <v>422</v>
      </c>
      <c r="AC40" s="393">
        <v>42231</v>
      </c>
    </row>
    <row r="41" spans="1:29" s="411" customFormat="1" ht="13.5" customHeight="1">
      <c r="A41" s="432" t="s">
        <v>423</v>
      </c>
      <c r="B41" s="438"/>
      <c r="C41" s="383" t="s">
        <v>424</v>
      </c>
      <c r="D41" s="369"/>
      <c r="E41" s="531"/>
      <c r="F41" s="369"/>
      <c r="G41" s="531"/>
      <c r="H41" s="369"/>
      <c r="I41" s="531"/>
      <c r="J41" s="369"/>
      <c r="K41" s="531"/>
      <c r="L41" s="369"/>
      <c r="M41" s="531"/>
      <c r="N41" s="369"/>
      <c r="O41" s="531"/>
      <c r="P41" s="369"/>
      <c r="Q41" s="531"/>
      <c r="R41" s="369"/>
      <c r="S41" s="531"/>
      <c r="T41" s="369"/>
      <c r="U41" s="531"/>
      <c r="V41" s="369"/>
      <c r="W41" s="531"/>
      <c r="X41" s="369"/>
      <c r="Y41" s="531"/>
      <c r="Z41" s="369"/>
      <c r="AA41" s="531"/>
      <c r="AB41" s="369" t="s">
        <v>431</v>
      </c>
      <c r="AC41" s="393">
        <v>41882</v>
      </c>
    </row>
    <row r="42" spans="1:29" s="411" customFormat="1" ht="13.5" customHeight="1">
      <c r="A42" s="432" t="s">
        <v>425</v>
      </c>
      <c r="B42" s="438"/>
      <c r="C42" s="383" t="s">
        <v>426</v>
      </c>
      <c r="D42" s="369"/>
      <c r="E42" s="391"/>
      <c r="F42" s="369"/>
      <c r="G42" s="391"/>
      <c r="H42" s="369"/>
      <c r="I42" s="391"/>
      <c r="J42" s="369"/>
      <c r="K42" s="391"/>
      <c r="L42" s="369"/>
      <c r="M42" s="391"/>
      <c r="N42" s="369"/>
      <c r="O42" s="391"/>
      <c r="P42" s="369"/>
      <c r="Q42" s="391"/>
      <c r="R42" s="369"/>
      <c r="S42" s="391"/>
      <c r="T42" s="369"/>
      <c r="U42" s="391"/>
      <c r="V42" s="369"/>
      <c r="W42" s="391"/>
      <c r="X42" s="369"/>
      <c r="Y42" s="391"/>
      <c r="Z42" s="369"/>
      <c r="AA42" s="391"/>
      <c r="AB42" s="369"/>
      <c r="AC42" s="391"/>
    </row>
    <row r="43" spans="1:29" s="411" customFormat="1" ht="13.5" customHeight="1">
      <c r="A43" s="432" t="s">
        <v>460</v>
      </c>
      <c r="B43" s="438"/>
      <c r="C43" s="383" t="s">
        <v>427</v>
      </c>
      <c r="D43" s="369"/>
      <c r="E43" s="391"/>
      <c r="F43" s="369"/>
      <c r="G43" s="391"/>
      <c r="H43" s="369"/>
      <c r="I43" s="391"/>
      <c r="J43" s="369"/>
      <c r="K43" s="391"/>
      <c r="L43" s="369"/>
      <c r="M43" s="391"/>
      <c r="N43" s="369"/>
      <c r="O43" s="391"/>
      <c r="P43" s="369"/>
      <c r="Q43" s="391"/>
      <c r="R43" s="369"/>
      <c r="S43" s="391"/>
      <c r="T43" s="369"/>
      <c r="U43" s="391"/>
      <c r="V43" s="369"/>
      <c r="W43" s="391"/>
      <c r="X43" s="369"/>
      <c r="Y43" s="391"/>
      <c r="Z43" s="369"/>
      <c r="AA43" s="391"/>
      <c r="AB43" s="369"/>
      <c r="AC43" s="391"/>
    </row>
    <row r="44" spans="1:29" s="411" customFormat="1" ht="13.5" customHeight="1">
      <c r="A44" s="432" t="s">
        <v>428</v>
      </c>
      <c r="B44" s="438"/>
      <c r="C44" s="383" t="s">
        <v>429</v>
      </c>
      <c r="D44" s="369"/>
      <c r="E44" s="391"/>
      <c r="F44" s="369"/>
      <c r="G44" s="391"/>
      <c r="H44" s="369"/>
      <c r="I44" s="391"/>
      <c r="J44" s="369"/>
      <c r="K44" s="391"/>
      <c r="L44" s="369"/>
      <c r="M44" s="391"/>
      <c r="N44" s="369"/>
      <c r="O44" s="391"/>
      <c r="P44" s="369"/>
      <c r="Q44" s="391"/>
      <c r="R44" s="369"/>
      <c r="S44" s="391"/>
      <c r="T44" s="369"/>
      <c r="U44" s="391"/>
      <c r="V44" s="369"/>
      <c r="W44" s="391"/>
      <c r="X44" s="369"/>
      <c r="Y44" s="391"/>
      <c r="Z44" s="369"/>
      <c r="AA44" s="391"/>
      <c r="AB44" s="369"/>
      <c r="AC44" s="391"/>
    </row>
    <row r="45" spans="1:29" s="411" customFormat="1" ht="13.5" customHeight="1">
      <c r="A45" s="432"/>
      <c r="B45" s="438"/>
      <c r="C45" s="385"/>
      <c r="D45" s="369"/>
      <c r="E45" s="391"/>
      <c r="F45" s="369"/>
      <c r="G45" s="391"/>
      <c r="H45" s="369"/>
      <c r="I45" s="391"/>
      <c r="J45" s="369"/>
      <c r="K45" s="391"/>
      <c r="L45" s="369"/>
      <c r="M45" s="391"/>
      <c r="N45" s="369"/>
      <c r="O45" s="391"/>
      <c r="P45" s="369"/>
      <c r="Q45" s="391"/>
      <c r="R45" s="369"/>
      <c r="S45" s="391"/>
      <c r="T45" s="369"/>
      <c r="U45" s="391"/>
      <c r="V45" s="369"/>
      <c r="W45" s="391"/>
      <c r="X45" s="369"/>
      <c r="Y45" s="391"/>
      <c r="Z45" s="369"/>
      <c r="AA45" s="391"/>
      <c r="AB45" s="369"/>
      <c r="AC45" s="391"/>
    </row>
    <row r="46" spans="1:29" s="411" customFormat="1" ht="13.5" customHeight="1">
      <c r="A46" s="440"/>
      <c r="B46" s="441"/>
      <c r="C46" s="442" t="s">
        <v>388</v>
      </c>
      <c r="D46" s="616"/>
      <c r="E46" s="617"/>
      <c r="F46" s="616"/>
      <c r="G46" s="617"/>
      <c r="H46" s="614">
        <v>2</v>
      </c>
      <c r="I46" s="615"/>
      <c r="J46" s="614">
        <v>2</v>
      </c>
      <c r="K46" s="615"/>
      <c r="L46" s="614">
        <v>2</v>
      </c>
      <c r="M46" s="615"/>
      <c r="N46" s="614">
        <v>2</v>
      </c>
      <c r="O46" s="615"/>
      <c r="P46" s="614">
        <v>2</v>
      </c>
      <c r="Q46" s="615"/>
      <c r="R46" s="614">
        <v>2</v>
      </c>
      <c r="S46" s="615"/>
      <c r="T46" s="614">
        <v>2</v>
      </c>
      <c r="U46" s="615"/>
      <c r="V46" s="614">
        <v>2</v>
      </c>
      <c r="W46" s="615"/>
      <c r="X46" s="614">
        <v>2</v>
      </c>
      <c r="Y46" s="615"/>
      <c r="Z46" s="614">
        <v>2</v>
      </c>
      <c r="AA46" s="615"/>
      <c r="AB46" s="614">
        <f>3+14/14</f>
        <v>4</v>
      </c>
      <c r="AC46" s="615"/>
    </row>
    <row r="47" spans="1:29" s="411" customFormat="1" ht="13.5" customHeight="1">
      <c r="A47" s="440" t="s">
        <v>389</v>
      </c>
      <c r="B47" s="441"/>
      <c r="C47" s="442" t="s">
        <v>390</v>
      </c>
      <c r="D47" s="616"/>
      <c r="E47" s="617"/>
      <c r="F47" s="616"/>
      <c r="G47" s="617"/>
      <c r="H47" s="614">
        <f>F47+H46</f>
        <v>2</v>
      </c>
      <c r="I47" s="615"/>
      <c r="J47" s="614">
        <f>H47+J46</f>
        <v>4</v>
      </c>
      <c r="K47" s="615"/>
      <c r="L47" s="614">
        <f>J47+L46</f>
        <v>6</v>
      </c>
      <c r="M47" s="615"/>
      <c r="N47" s="614">
        <f>L47+N46</f>
        <v>8</v>
      </c>
      <c r="O47" s="615"/>
      <c r="P47" s="614">
        <f>N47+P46</f>
        <v>10</v>
      </c>
      <c r="Q47" s="615"/>
      <c r="R47" s="614">
        <f>P47+R46</f>
        <v>12</v>
      </c>
      <c r="S47" s="615"/>
      <c r="T47" s="614">
        <f>R47+T46</f>
        <v>14</v>
      </c>
      <c r="U47" s="615"/>
      <c r="V47" s="614">
        <f>T47+V46</f>
        <v>16</v>
      </c>
      <c r="W47" s="615"/>
      <c r="X47" s="614">
        <f>V47+X46</f>
        <v>18</v>
      </c>
      <c r="Y47" s="615"/>
      <c r="Z47" s="614">
        <f>X47+Z46</f>
        <v>20</v>
      </c>
      <c r="AA47" s="615"/>
      <c r="AB47" s="614">
        <f>Z47+AB46</f>
        <v>24</v>
      </c>
      <c r="AC47" s="615"/>
    </row>
    <row r="48" spans="1:29" s="411" customFormat="1" ht="13.5" customHeight="1">
      <c r="A48" s="386">
        <v>24</v>
      </c>
      <c r="B48" s="387"/>
      <c r="C48" s="442" t="s">
        <v>391</v>
      </c>
      <c r="D48" s="616"/>
      <c r="E48" s="617"/>
      <c r="F48" s="616"/>
      <c r="G48" s="617"/>
      <c r="H48" s="614">
        <f>A48-H47</f>
        <v>22</v>
      </c>
      <c r="I48" s="615"/>
      <c r="J48" s="614">
        <f>H48-J46</f>
        <v>20</v>
      </c>
      <c r="K48" s="615"/>
      <c r="L48" s="614">
        <f>J48-L46</f>
        <v>18</v>
      </c>
      <c r="M48" s="615"/>
      <c r="N48" s="614">
        <f>L48-N46</f>
        <v>16</v>
      </c>
      <c r="O48" s="615"/>
      <c r="P48" s="614">
        <f>N48-P46</f>
        <v>14</v>
      </c>
      <c r="Q48" s="615"/>
      <c r="R48" s="614">
        <f>P48-R46</f>
        <v>12</v>
      </c>
      <c r="S48" s="615"/>
      <c r="T48" s="614">
        <f>R48-T46</f>
        <v>10</v>
      </c>
      <c r="U48" s="615"/>
      <c r="V48" s="614">
        <f>T48-V46</f>
        <v>8</v>
      </c>
      <c r="W48" s="615"/>
      <c r="X48" s="614">
        <f>V48-X46</f>
        <v>6</v>
      </c>
      <c r="Y48" s="615"/>
      <c r="Z48" s="614">
        <f>X48-Z46</f>
        <v>4</v>
      </c>
      <c r="AA48" s="615"/>
      <c r="AB48" s="614">
        <f>Z48-AB46</f>
        <v>0</v>
      </c>
      <c r="AC48" s="615"/>
    </row>
    <row r="49" spans="1:29" s="411" customFormat="1" ht="13.5" customHeight="1" thickBot="1">
      <c r="A49" s="435"/>
      <c r="B49" s="436"/>
      <c r="C49" s="436"/>
      <c r="D49" s="370"/>
      <c r="E49" s="372"/>
      <c r="F49" s="370"/>
      <c r="G49" s="372"/>
      <c r="H49" s="370"/>
      <c r="I49" s="372"/>
      <c r="J49" s="370"/>
      <c r="K49" s="372"/>
      <c r="L49" s="370"/>
      <c r="M49" s="372"/>
      <c r="N49" s="370"/>
      <c r="O49" s="372"/>
      <c r="P49" s="370"/>
      <c r="Q49" s="372"/>
      <c r="R49" s="370"/>
      <c r="S49" s="372"/>
      <c r="T49" s="370"/>
      <c r="U49" s="372"/>
      <c r="V49" s="370"/>
      <c r="W49" s="372"/>
      <c r="X49" s="370"/>
      <c r="Y49" s="372"/>
      <c r="Z49" s="370"/>
      <c r="AA49" s="372"/>
      <c r="AB49" s="444"/>
      <c r="AC49" s="445"/>
    </row>
    <row r="50" spans="1:29" s="411" customFormat="1" ht="9.75" customHeight="1">
      <c r="A50" s="430"/>
      <c r="B50" s="431"/>
      <c r="C50" s="437"/>
      <c r="D50" s="373"/>
      <c r="E50" s="391"/>
      <c r="F50" s="369"/>
      <c r="G50" s="391"/>
      <c r="H50" s="369"/>
      <c r="I50" s="391"/>
      <c r="J50" s="369"/>
      <c r="K50" s="391"/>
      <c r="L50" s="369"/>
      <c r="M50" s="391"/>
      <c r="N50" s="369"/>
      <c r="O50" s="391"/>
      <c r="P50" s="369"/>
      <c r="Q50" s="391"/>
      <c r="R50" s="369"/>
      <c r="S50" s="391"/>
      <c r="T50" s="369"/>
      <c r="U50" s="391"/>
      <c r="V50" s="369"/>
      <c r="W50" s="391"/>
      <c r="X50" s="369"/>
      <c r="Y50" s="391"/>
      <c r="Z50" s="369"/>
      <c r="AA50" s="391"/>
      <c r="AB50" s="446"/>
      <c r="AC50" s="447"/>
    </row>
    <row r="51" spans="1:29" s="411" customFormat="1" ht="13.5" customHeight="1">
      <c r="A51" s="432" t="s">
        <v>461</v>
      </c>
      <c r="B51" s="431"/>
      <c r="C51" s="431"/>
      <c r="D51" s="369"/>
      <c r="E51" s="391"/>
      <c r="F51" s="369"/>
      <c r="G51" s="391"/>
      <c r="H51" s="369"/>
      <c r="I51" s="391"/>
      <c r="J51" s="369"/>
      <c r="K51" s="391"/>
      <c r="L51" s="369"/>
      <c r="M51" s="391"/>
      <c r="N51" s="369"/>
      <c r="O51" s="391"/>
      <c r="P51" s="369"/>
      <c r="Q51" s="391"/>
      <c r="R51" s="369"/>
      <c r="S51" s="391"/>
      <c r="T51" s="369"/>
      <c r="U51" s="391"/>
      <c r="V51" s="369"/>
      <c r="W51" s="391"/>
      <c r="X51" s="369"/>
      <c r="Y51" s="391"/>
      <c r="Z51" s="369"/>
      <c r="AA51" s="391"/>
      <c r="AB51" s="369"/>
      <c r="AC51" s="391"/>
    </row>
    <row r="52" spans="1:29" s="411" customFormat="1" ht="13.5" customHeight="1">
      <c r="A52" s="432"/>
      <c r="B52" s="434" t="s">
        <v>396</v>
      </c>
      <c r="C52" s="385"/>
      <c r="D52" s="369" t="s">
        <v>408</v>
      </c>
      <c r="E52" s="379">
        <v>41835</v>
      </c>
      <c r="F52" s="369" t="s">
        <v>422</v>
      </c>
      <c r="G52" s="379">
        <v>41866</v>
      </c>
      <c r="H52" s="369" t="s">
        <v>398</v>
      </c>
      <c r="I52" s="379">
        <f>I38</f>
        <v>41897</v>
      </c>
      <c r="J52" s="369" t="s">
        <v>399</v>
      </c>
      <c r="K52" s="379">
        <f>K38</f>
        <v>41927</v>
      </c>
      <c r="L52" s="369" t="s">
        <v>400</v>
      </c>
      <c r="M52" s="379">
        <f>M38</f>
        <v>41958</v>
      </c>
      <c r="N52" s="369" t="s">
        <v>401</v>
      </c>
      <c r="O52" s="379">
        <f>O38</f>
        <v>41989</v>
      </c>
      <c r="P52" s="369" t="s">
        <v>402</v>
      </c>
      <c r="Q52" s="379">
        <f>Q38</f>
        <v>42019</v>
      </c>
      <c r="R52" s="369" t="s">
        <v>403</v>
      </c>
      <c r="S52" s="379">
        <f>S38</f>
        <v>42051</v>
      </c>
      <c r="T52" s="369" t="s">
        <v>404</v>
      </c>
      <c r="U52" s="379">
        <f>U38</f>
        <v>42078</v>
      </c>
      <c r="V52" s="369" t="s">
        <v>405</v>
      </c>
      <c r="W52" s="379">
        <f>W38</f>
        <v>42109</v>
      </c>
      <c r="X52" s="369" t="s">
        <v>430</v>
      </c>
      <c r="Y52" s="379">
        <f>Y38</f>
        <v>42140</v>
      </c>
      <c r="Z52" s="369" t="s">
        <v>407</v>
      </c>
      <c r="AA52" s="379">
        <f>AA38</f>
        <v>42170</v>
      </c>
      <c r="AB52" s="369"/>
      <c r="AC52" s="531"/>
    </row>
    <row r="53" spans="1:29" s="411" customFormat="1" ht="13.5" customHeight="1">
      <c r="A53" s="432"/>
      <c r="B53" s="438"/>
      <c r="C53" s="385"/>
      <c r="D53" s="369" t="s">
        <v>465</v>
      </c>
      <c r="E53" s="379">
        <v>41850</v>
      </c>
      <c r="F53" s="369" t="s">
        <v>431</v>
      </c>
      <c r="G53" s="379">
        <v>41882</v>
      </c>
      <c r="H53" s="369" t="s">
        <v>411</v>
      </c>
      <c r="I53" s="379">
        <f>I39</f>
        <v>41912</v>
      </c>
      <c r="J53" s="369" t="s">
        <v>412</v>
      </c>
      <c r="K53" s="379">
        <f>K39</f>
        <v>41943</v>
      </c>
      <c r="L53" s="369" t="s">
        <v>413</v>
      </c>
      <c r="M53" s="379">
        <f>M39</f>
        <v>41972</v>
      </c>
      <c r="N53" s="369" t="s">
        <v>414</v>
      </c>
      <c r="O53" s="379">
        <f>O39</f>
        <v>42004</v>
      </c>
      <c r="P53" s="369" t="s">
        <v>415</v>
      </c>
      <c r="Q53" s="379">
        <f>Q39</f>
        <v>42033</v>
      </c>
      <c r="R53" s="369" t="s">
        <v>416</v>
      </c>
      <c r="S53" s="379" t="str">
        <f>S39</f>
        <v>2/29</v>
      </c>
      <c r="T53" s="369" t="s">
        <v>417</v>
      </c>
      <c r="U53" s="379">
        <f>U39</f>
        <v>42094</v>
      </c>
      <c r="V53" s="369" t="s">
        <v>432</v>
      </c>
      <c r="W53" s="379">
        <f>W39</f>
        <v>42123</v>
      </c>
      <c r="X53" s="369" t="s">
        <v>433</v>
      </c>
      <c r="Y53" s="379">
        <f>Y39</f>
        <v>42155</v>
      </c>
      <c r="Z53" s="369" t="s">
        <v>420</v>
      </c>
      <c r="AA53" s="379">
        <f>AA39</f>
        <v>42185</v>
      </c>
      <c r="AB53" s="369"/>
      <c r="AC53" s="531"/>
    </row>
    <row r="54" spans="1:29" s="411" customFormat="1" ht="13.5" customHeight="1">
      <c r="A54" s="432"/>
      <c r="B54" s="438"/>
      <c r="C54" s="385"/>
      <c r="D54" s="369"/>
      <c r="E54" s="379"/>
      <c r="F54" s="369"/>
      <c r="G54" s="531"/>
      <c r="H54" s="369"/>
      <c r="I54" s="379"/>
      <c r="J54" s="369"/>
      <c r="K54" s="379"/>
      <c r="L54" s="369"/>
      <c r="M54" s="379"/>
      <c r="N54" s="369"/>
      <c r="O54" s="379"/>
      <c r="P54" s="369"/>
      <c r="Q54" s="379"/>
      <c r="R54" s="369"/>
      <c r="S54" s="379"/>
      <c r="T54" s="369"/>
      <c r="U54" s="379"/>
      <c r="V54" s="369"/>
      <c r="W54" s="379"/>
      <c r="X54" s="369"/>
      <c r="Y54" s="379"/>
      <c r="Z54" s="369"/>
      <c r="AA54" s="379"/>
      <c r="AB54" s="369"/>
      <c r="AC54" s="531"/>
    </row>
    <row r="55" spans="1:29" s="411" customFormat="1" ht="13.5" customHeight="1">
      <c r="A55" s="432"/>
      <c r="B55" s="438"/>
      <c r="C55" s="385"/>
      <c r="D55" s="369"/>
      <c r="E55" s="379"/>
      <c r="F55" s="369"/>
      <c r="G55" s="531"/>
      <c r="H55" s="369"/>
      <c r="I55" s="379"/>
      <c r="J55" s="369"/>
      <c r="K55" s="379"/>
      <c r="L55" s="369"/>
      <c r="M55" s="379"/>
      <c r="N55" s="369"/>
      <c r="O55" s="379"/>
      <c r="P55" s="369"/>
      <c r="Q55" s="379"/>
      <c r="R55" s="369"/>
      <c r="S55" s="379"/>
      <c r="T55" s="369"/>
      <c r="U55" s="379"/>
      <c r="V55" s="369"/>
      <c r="W55" s="379"/>
      <c r="X55" s="369"/>
      <c r="Y55" s="379"/>
      <c r="Z55" s="369"/>
      <c r="AA55" s="379"/>
      <c r="AB55" s="369"/>
      <c r="AC55" s="531"/>
    </row>
    <row r="56" spans="1:29" s="411" customFormat="1" ht="13.5" customHeight="1">
      <c r="A56" s="432"/>
      <c r="B56" s="438"/>
      <c r="C56" s="385"/>
      <c r="D56" s="369"/>
      <c r="E56" s="379"/>
      <c r="F56" s="369"/>
      <c r="G56" s="531"/>
      <c r="H56" s="369"/>
      <c r="I56" s="379"/>
      <c r="J56" s="369"/>
      <c r="K56" s="379"/>
      <c r="L56" s="369"/>
      <c r="M56" s="379"/>
      <c r="N56" s="369"/>
      <c r="O56" s="379"/>
      <c r="P56" s="369"/>
      <c r="Q56" s="379"/>
      <c r="R56" s="369"/>
      <c r="S56" s="379"/>
      <c r="T56" s="369"/>
      <c r="U56" s="379"/>
      <c r="V56" s="369"/>
      <c r="W56" s="379"/>
      <c r="X56" s="369"/>
      <c r="Y56" s="379"/>
      <c r="Z56" s="369"/>
      <c r="AA56" s="379"/>
      <c r="AB56" s="369"/>
      <c r="AC56" s="531"/>
    </row>
    <row r="57" spans="1:29" s="411" customFormat="1" ht="13.5" customHeight="1">
      <c r="A57" s="432"/>
      <c r="B57" s="438"/>
      <c r="C57" s="385"/>
      <c r="D57" s="369"/>
      <c r="E57" s="379"/>
      <c r="F57" s="369"/>
      <c r="G57" s="531"/>
      <c r="H57" s="369"/>
      <c r="I57" s="379"/>
      <c r="J57" s="369"/>
      <c r="K57" s="379"/>
      <c r="L57" s="369"/>
      <c r="M57" s="379"/>
      <c r="N57" s="369"/>
      <c r="O57" s="379"/>
      <c r="P57" s="369"/>
      <c r="Q57" s="379"/>
      <c r="R57" s="369"/>
      <c r="S57" s="379"/>
      <c r="T57" s="369"/>
      <c r="U57" s="379"/>
      <c r="V57" s="369"/>
      <c r="W57" s="379"/>
      <c r="X57" s="369"/>
      <c r="Y57" s="379"/>
      <c r="Z57" s="369"/>
      <c r="AA57" s="379"/>
      <c r="AB57" s="369"/>
      <c r="AC57" s="531"/>
    </row>
    <row r="58" spans="1:29" s="411" customFormat="1" ht="13.5" customHeight="1">
      <c r="A58" s="432"/>
      <c r="B58" s="438"/>
      <c r="C58" s="385"/>
      <c r="D58" s="369"/>
      <c r="E58" s="531"/>
      <c r="F58" s="369" t="s">
        <v>1</v>
      </c>
      <c r="G58" s="531" t="s">
        <v>1</v>
      </c>
      <c r="H58" s="369"/>
      <c r="I58" s="391"/>
      <c r="J58" s="369"/>
      <c r="K58" s="391"/>
      <c r="L58" s="369"/>
      <c r="M58" s="391"/>
      <c r="N58" s="369"/>
      <c r="O58" s="391"/>
      <c r="P58" s="369"/>
      <c r="Q58" s="391"/>
      <c r="R58" s="369"/>
      <c r="S58" s="391"/>
      <c r="T58" s="369"/>
      <c r="U58" s="391"/>
      <c r="V58" s="369"/>
      <c r="W58" s="391"/>
      <c r="X58" s="369"/>
      <c r="Y58" s="391"/>
      <c r="Z58" s="369"/>
      <c r="AA58" s="391"/>
      <c r="AB58" s="369"/>
      <c r="AC58" s="391"/>
    </row>
    <row r="59" spans="1:29" s="411" customFormat="1" ht="13.5" customHeight="1">
      <c r="A59" s="432"/>
      <c r="B59" s="441"/>
      <c r="C59" s="442" t="s">
        <v>388</v>
      </c>
      <c r="D59" s="614">
        <v>2</v>
      </c>
      <c r="E59" s="615"/>
      <c r="F59" s="614">
        <v>2</v>
      </c>
      <c r="G59" s="615"/>
      <c r="H59" s="614">
        <v>2</v>
      </c>
      <c r="I59" s="615"/>
      <c r="J59" s="614">
        <v>2</v>
      </c>
      <c r="K59" s="615"/>
      <c r="L59" s="614">
        <v>2</v>
      </c>
      <c r="M59" s="615"/>
      <c r="N59" s="614">
        <v>2</v>
      </c>
      <c r="O59" s="615"/>
      <c r="P59" s="614">
        <v>2</v>
      </c>
      <c r="Q59" s="615"/>
      <c r="R59" s="614">
        <v>2</v>
      </c>
      <c r="S59" s="615"/>
      <c r="T59" s="614">
        <v>2</v>
      </c>
      <c r="U59" s="615"/>
      <c r="V59" s="614">
        <v>2</v>
      </c>
      <c r="W59" s="615"/>
      <c r="X59" s="614">
        <v>2</v>
      </c>
      <c r="Y59" s="615"/>
      <c r="Z59" s="614">
        <v>2</v>
      </c>
      <c r="AA59" s="615"/>
      <c r="AB59" s="616"/>
      <c r="AC59" s="617"/>
    </row>
    <row r="60" spans="1:29" s="411" customFormat="1" ht="13.5" customHeight="1">
      <c r="A60" s="432"/>
      <c r="B60" s="441"/>
      <c r="C60" s="442" t="s">
        <v>390</v>
      </c>
      <c r="D60" s="614">
        <v>2</v>
      </c>
      <c r="E60" s="615"/>
      <c r="F60" s="614">
        <f>D60+F59</f>
        <v>4</v>
      </c>
      <c r="G60" s="615"/>
      <c r="H60" s="614">
        <v>6</v>
      </c>
      <c r="I60" s="615"/>
      <c r="J60" s="614">
        <f>H60+J59</f>
        <v>8</v>
      </c>
      <c r="K60" s="615"/>
      <c r="L60" s="614">
        <f>J60+L59</f>
        <v>10</v>
      </c>
      <c r="M60" s="615"/>
      <c r="N60" s="614">
        <f>L60+N59</f>
        <v>12</v>
      </c>
      <c r="O60" s="615"/>
      <c r="P60" s="614">
        <f>N60+P59</f>
        <v>14</v>
      </c>
      <c r="Q60" s="615"/>
      <c r="R60" s="614">
        <f>P60+R59</f>
        <v>16</v>
      </c>
      <c r="S60" s="615"/>
      <c r="T60" s="614">
        <f>R60+T59</f>
        <v>18</v>
      </c>
      <c r="U60" s="615"/>
      <c r="V60" s="614">
        <f>T60+V59</f>
        <v>20</v>
      </c>
      <c r="W60" s="615"/>
      <c r="X60" s="614">
        <f>V60+X59</f>
        <v>22</v>
      </c>
      <c r="Y60" s="615"/>
      <c r="Z60" s="614">
        <f>X60+Z59</f>
        <v>24</v>
      </c>
      <c r="AA60" s="615"/>
      <c r="AB60" s="616"/>
      <c r="AC60" s="617"/>
    </row>
    <row r="61" spans="1:29" s="411" customFormat="1" ht="13.5" customHeight="1">
      <c r="A61" s="386" t="s">
        <v>482</v>
      </c>
      <c r="B61" s="387"/>
      <c r="C61" s="442" t="s">
        <v>391</v>
      </c>
      <c r="D61" s="614">
        <v>22</v>
      </c>
      <c r="E61" s="615"/>
      <c r="F61" s="614">
        <f>D61-F59</f>
        <v>20</v>
      </c>
      <c r="G61" s="615"/>
      <c r="H61" s="614">
        <v>18</v>
      </c>
      <c r="I61" s="615"/>
      <c r="J61" s="614">
        <f>H61-J59</f>
        <v>16</v>
      </c>
      <c r="K61" s="615"/>
      <c r="L61" s="614">
        <f>J61-L59</f>
        <v>14</v>
      </c>
      <c r="M61" s="615"/>
      <c r="N61" s="614">
        <f>L61-N59</f>
        <v>12</v>
      </c>
      <c r="O61" s="615"/>
      <c r="P61" s="614">
        <f>N61-P59</f>
        <v>10</v>
      </c>
      <c r="Q61" s="615"/>
      <c r="R61" s="614">
        <f>P61-R59</f>
        <v>8</v>
      </c>
      <c r="S61" s="615"/>
      <c r="T61" s="614">
        <f>R61-T59</f>
        <v>6</v>
      </c>
      <c r="U61" s="615"/>
      <c r="V61" s="614">
        <f>T61-V59</f>
        <v>4</v>
      </c>
      <c r="W61" s="615"/>
      <c r="X61" s="614">
        <f>V61-X59</f>
        <v>2</v>
      </c>
      <c r="Y61" s="615"/>
      <c r="Z61" s="614">
        <f>X61-Z59</f>
        <v>0</v>
      </c>
      <c r="AA61" s="615"/>
      <c r="AB61" s="616"/>
      <c r="AC61" s="617"/>
    </row>
    <row r="62" spans="1:29" s="411" customFormat="1" ht="13.5" customHeight="1">
      <c r="A62" s="386">
        <v>24</v>
      </c>
      <c r="B62" s="387"/>
      <c r="C62" s="442"/>
      <c r="D62" s="530"/>
      <c r="E62" s="531"/>
      <c r="F62" s="530"/>
      <c r="G62" s="531"/>
      <c r="H62" s="530"/>
      <c r="I62" s="531"/>
      <c r="J62" s="530"/>
      <c r="K62" s="531"/>
      <c r="L62" s="530"/>
      <c r="M62" s="531"/>
      <c r="N62" s="530"/>
      <c r="O62" s="531"/>
      <c r="P62" s="530"/>
      <c r="Q62" s="531"/>
      <c r="R62" s="530"/>
      <c r="S62" s="531"/>
      <c r="T62" s="530"/>
      <c r="U62" s="531"/>
      <c r="V62" s="530"/>
      <c r="W62" s="531"/>
      <c r="X62" s="530"/>
      <c r="Y62" s="531"/>
      <c r="Z62" s="530"/>
      <c r="AA62" s="531"/>
      <c r="AB62" s="530"/>
      <c r="AC62" s="531"/>
    </row>
    <row r="63" spans="1:29" s="411" customFormat="1" ht="13.5" customHeight="1" thickBot="1">
      <c r="A63" s="435"/>
      <c r="B63" s="436"/>
      <c r="C63" s="436"/>
      <c r="D63" s="370"/>
      <c r="E63" s="372"/>
      <c r="F63" s="370"/>
      <c r="G63" s="372"/>
      <c r="H63" s="370"/>
      <c r="I63" s="372"/>
      <c r="J63" s="370"/>
      <c r="K63" s="372"/>
      <c r="L63" s="370"/>
      <c r="M63" s="372"/>
      <c r="N63" s="370"/>
      <c r="O63" s="372"/>
      <c r="P63" s="370"/>
      <c r="Q63" s="372"/>
      <c r="R63" s="370"/>
      <c r="S63" s="372"/>
      <c r="T63" s="370"/>
      <c r="U63" s="372"/>
      <c r="V63" s="370"/>
      <c r="W63" s="372"/>
      <c r="X63" s="370"/>
      <c r="Y63" s="372"/>
      <c r="Z63" s="370"/>
      <c r="AA63" s="372"/>
      <c r="AB63" s="370"/>
      <c r="AC63" s="372"/>
    </row>
    <row r="64" spans="1:29" s="506" customFormat="1" ht="21.75" customHeight="1" thickBot="1">
      <c r="A64" s="500" t="s">
        <v>507</v>
      </c>
      <c r="B64" s="501"/>
      <c r="C64" s="502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4" t="s">
        <v>1</v>
      </c>
    </row>
  </sheetData>
  <sheetProtection/>
  <mergeCells count="207">
    <mergeCell ref="V61:W61"/>
    <mergeCell ref="X61:Y61"/>
    <mergeCell ref="Z61:AA61"/>
    <mergeCell ref="AB61:AC61"/>
    <mergeCell ref="AB60:AC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P60:Q60"/>
    <mergeCell ref="R60:S60"/>
    <mergeCell ref="T60:U60"/>
    <mergeCell ref="V60:W60"/>
    <mergeCell ref="X60:Y60"/>
    <mergeCell ref="Z60:AA60"/>
    <mergeCell ref="V59:W59"/>
    <mergeCell ref="X59:Y59"/>
    <mergeCell ref="Z59:AA59"/>
    <mergeCell ref="AB59:AC59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48:W48"/>
    <mergeCell ref="X48:Y48"/>
    <mergeCell ref="Z48:AA48"/>
    <mergeCell ref="AB48:AC48"/>
    <mergeCell ref="AB47:AC47"/>
    <mergeCell ref="D48:E48"/>
    <mergeCell ref="F48:G48"/>
    <mergeCell ref="H48:I48"/>
    <mergeCell ref="J48:K48"/>
    <mergeCell ref="L48:M48"/>
    <mergeCell ref="V46:W46"/>
    <mergeCell ref="X46:Y46"/>
    <mergeCell ref="Z46:AA46"/>
    <mergeCell ref="N48:O48"/>
    <mergeCell ref="P48:Q48"/>
    <mergeCell ref="R48:S48"/>
    <mergeCell ref="T48:U48"/>
    <mergeCell ref="P47:Q47"/>
    <mergeCell ref="R47:S47"/>
    <mergeCell ref="T47:U47"/>
    <mergeCell ref="AB46:AC46"/>
    <mergeCell ref="D47:E47"/>
    <mergeCell ref="F47:G47"/>
    <mergeCell ref="H47:I47"/>
    <mergeCell ref="J47:K47"/>
    <mergeCell ref="L47:M47"/>
    <mergeCell ref="N47:O47"/>
    <mergeCell ref="V47:W47"/>
    <mergeCell ref="X47:Y47"/>
    <mergeCell ref="Z47:AA47"/>
    <mergeCell ref="AB35:AC3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P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D35:E35"/>
    <mergeCell ref="F35:G35"/>
    <mergeCell ref="H35:I35"/>
    <mergeCell ref="J35:K35"/>
    <mergeCell ref="L35:M35"/>
    <mergeCell ref="N35:O35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R26:S26"/>
    <mergeCell ref="T26:U26"/>
    <mergeCell ref="V26:W26"/>
    <mergeCell ref="X26:Y26"/>
    <mergeCell ref="Z26:AA26"/>
    <mergeCell ref="AB26:AC26"/>
    <mergeCell ref="X25:Y25"/>
    <mergeCell ref="Z25:AA25"/>
    <mergeCell ref="AB25:AC25"/>
    <mergeCell ref="D26:E26"/>
    <mergeCell ref="F26:G26"/>
    <mergeCell ref="H26:I26"/>
    <mergeCell ref="J26:K26"/>
    <mergeCell ref="L26:M26"/>
    <mergeCell ref="N26:O26"/>
    <mergeCell ref="P26:Q26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P24:Q24"/>
    <mergeCell ref="R24:S24"/>
    <mergeCell ref="T24:U24"/>
    <mergeCell ref="V24:W24"/>
    <mergeCell ref="X24:Y24"/>
    <mergeCell ref="Z24:AA24"/>
    <mergeCell ref="V15:W15"/>
    <mergeCell ref="X15:Y15"/>
    <mergeCell ref="Z15:AA15"/>
    <mergeCell ref="AB15:AC15"/>
    <mergeCell ref="D16:E16"/>
    <mergeCell ref="F24:G24"/>
    <mergeCell ref="H24:I24"/>
    <mergeCell ref="J24:K24"/>
    <mergeCell ref="L24:M24"/>
    <mergeCell ref="N24:O24"/>
    <mergeCell ref="AB14:AC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D14:E14"/>
    <mergeCell ref="F14:G14"/>
    <mergeCell ref="H14:I14"/>
    <mergeCell ref="J14:K14"/>
    <mergeCell ref="L14:M14"/>
    <mergeCell ref="N14:O14"/>
    <mergeCell ref="AB3:AC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 alignWithMargins="0">
    <oddFooter>&amp;C&amp;26- 14 -</oddFooter>
  </headerFooter>
  <ignoredErrors>
    <ignoredError sqref="C8:C11 C18 C29 C38:C44" numberStoredAsText="1"/>
    <ignoredError sqref="N33" formula="1"/>
    <ignoredError sqref="S39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8"/>
  <sheetViews>
    <sheetView zoomScalePageLayoutView="0" workbookViewId="0" topLeftCell="A1">
      <pane xSplit="3" ySplit="6" topLeftCell="O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16384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9.8515625" style="425" customWidth="1"/>
    <col min="23" max="23" width="6.57421875" style="425" customWidth="1"/>
    <col min="24" max="24" width="9.421875" style="425" customWidth="1"/>
    <col min="25" max="25" width="8.140625" style="425" customWidth="1"/>
    <col min="26" max="26" width="8.7109375" style="425" customWidth="1"/>
    <col min="27" max="27" width="6.7109375" style="425" customWidth="1"/>
    <col min="28" max="28" width="11.00390625" style="425" customWidth="1"/>
    <col min="29" max="29" width="7.7109375" style="425" customWidth="1"/>
    <col min="30" max="31" width="18.8515625" style="425" customWidth="1"/>
    <col min="32" max="52" width="9.14062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52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</row>
    <row r="4" spans="1:52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</row>
    <row r="5" spans="1:52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</row>
    <row r="6" spans="1:52" s="411" customFormat="1" ht="13.5" customHeight="1" thickBot="1">
      <c r="A6" s="435"/>
      <c r="B6" s="436"/>
      <c r="C6" s="436"/>
      <c r="D6" s="370"/>
      <c r="E6" s="371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</row>
    <row r="7" spans="1:52" s="411" customFormat="1" ht="9.75" customHeight="1">
      <c r="A7" s="430"/>
      <c r="B7" s="431"/>
      <c r="C7" s="437"/>
      <c r="D7" s="373"/>
      <c r="E7" s="374"/>
      <c r="F7" s="373"/>
      <c r="G7" s="374"/>
      <c r="H7" s="390"/>
      <c r="I7" s="390"/>
      <c r="J7" s="373"/>
      <c r="K7" s="374"/>
      <c r="L7" s="390"/>
      <c r="M7" s="390"/>
      <c r="N7" s="373"/>
      <c r="O7" s="374"/>
      <c r="P7" s="390"/>
      <c r="Q7" s="390"/>
      <c r="R7" s="373"/>
      <c r="S7" s="374"/>
      <c r="T7" s="390"/>
      <c r="U7" s="390"/>
      <c r="V7" s="373"/>
      <c r="W7" s="374"/>
      <c r="X7" s="373"/>
      <c r="Y7" s="374"/>
      <c r="Z7" s="390"/>
      <c r="AA7" s="390"/>
      <c r="AB7" s="373"/>
      <c r="AC7" s="374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</row>
    <row r="8" spans="1:29" s="380" customFormat="1" ht="13.5" customHeight="1">
      <c r="A8" s="375" t="s">
        <v>462</v>
      </c>
      <c r="B8" s="376" t="s">
        <v>356</v>
      </c>
      <c r="C8" s="383">
        <v>1300</v>
      </c>
      <c r="D8" s="378" t="s">
        <v>467</v>
      </c>
      <c r="E8" s="379">
        <v>41851</v>
      </c>
      <c r="F8" s="378" t="s">
        <v>465</v>
      </c>
      <c r="G8" s="379">
        <v>41869</v>
      </c>
      <c r="H8" s="378" t="s">
        <v>468</v>
      </c>
      <c r="I8" s="379">
        <v>42248</v>
      </c>
      <c r="J8" s="448" t="s">
        <v>466</v>
      </c>
      <c r="K8" s="379">
        <v>42282</v>
      </c>
      <c r="L8" s="392" t="s">
        <v>469</v>
      </c>
      <c r="M8" s="449">
        <v>42310</v>
      </c>
      <c r="N8" s="378" t="s">
        <v>400</v>
      </c>
      <c r="O8" s="379">
        <v>42341</v>
      </c>
      <c r="P8" s="392" t="s">
        <v>401</v>
      </c>
      <c r="Q8" s="449">
        <v>42010</v>
      </c>
      <c r="R8" s="378" t="s">
        <v>434</v>
      </c>
      <c r="S8" s="379">
        <v>42038</v>
      </c>
      <c r="T8" s="392" t="s">
        <v>403</v>
      </c>
      <c r="U8" s="449">
        <v>42071</v>
      </c>
      <c r="V8" s="378" t="s">
        <v>557</v>
      </c>
      <c r="W8" s="379">
        <v>42095</v>
      </c>
      <c r="X8" s="378" t="s">
        <v>405</v>
      </c>
      <c r="Y8" s="379">
        <v>42127</v>
      </c>
      <c r="Z8" s="392" t="s">
        <v>406</v>
      </c>
      <c r="AA8" s="449">
        <v>42156</v>
      </c>
      <c r="AB8" s="378" t="s">
        <v>407</v>
      </c>
      <c r="AC8" s="379">
        <v>42186</v>
      </c>
    </row>
    <row r="9" spans="1:29" s="380" customFormat="1" ht="13.5" customHeight="1">
      <c r="A9" s="375" t="s">
        <v>435</v>
      </c>
      <c r="B9" s="381"/>
      <c r="C9" s="383">
        <v>1000</v>
      </c>
      <c r="D9" s="616"/>
      <c r="E9" s="617"/>
      <c r="F9" s="457"/>
      <c r="G9" s="457"/>
      <c r="H9" s="378" t="s">
        <v>431</v>
      </c>
      <c r="I9" s="379">
        <v>42268</v>
      </c>
      <c r="J9" s="378" t="s">
        <v>458</v>
      </c>
      <c r="K9" s="379">
        <v>42296</v>
      </c>
      <c r="L9" s="392" t="s">
        <v>412</v>
      </c>
      <c r="M9" s="449">
        <v>42327</v>
      </c>
      <c r="N9" s="378" t="s">
        <v>413</v>
      </c>
      <c r="O9" s="379">
        <v>41989</v>
      </c>
      <c r="P9" s="392" t="s">
        <v>414</v>
      </c>
      <c r="Q9" s="449">
        <v>42024</v>
      </c>
      <c r="R9" s="378" t="s">
        <v>436</v>
      </c>
      <c r="S9" s="379">
        <v>42052</v>
      </c>
      <c r="T9" s="392" t="s">
        <v>558</v>
      </c>
      <c r="U9" s="379">
        <v>42079</v>
      </c>
      <c r="V9" s="457" t="s">
        <v>417</v>
      </c>
      <c r="W9" s="379">
        <v>42112</v>
      </c>
      <c r="X9" s="378" t="s">
        <v>418</v>
      </c>
      <c r="Y9" s="379">
        <v>42141</v>
      </c>
      <c r="Z9" s="392" t="s">
        <v>419</v>
      </c>
      <c r="AA9" s="449">
        <v>42171</v>
      </c>
      <c r="AB9" s="378" t="s">
        <v>420</v>
      </c>
      <c r="AC9" s="379">
        <v>42198</v>
      </c>
    </row>
    <row r="10" spans="1:29" s="380" customFormat="1" ht="13.5" customHeight="1">
      <c r="A10" s="375"/>
      <c r="B10" s="450"/>
      <c r="C10" s="443"/>
      <c r="D10" s="378"/>
      <c r="E10" s="379"/>
      <c r="F10" s="378"/>
      <c r="G10" s="379"/>
      <c r="H10" s="392"/>
      <c r="I10" s="449"/>
      <c r="J10" s="378" t="s">
        <v>1</v>
      </c>
      <c r="K10" s="379" t="s">
        <v>1</v>
      </c>
      <c r="L10" s="392"/>
      <c r="M10" s="449"/>
      <c r="N10" s="378"/>
      <c r="O10" s="379"/>
      <c r="P10" s="392"/>
      <c r="Q10" s="449"/>
      <c r="R10" s="378"/>
      <c r="S10" s="379"/>
      <c r="T10" s="392" t="s">
        <v>1</v>
      </c>
      <c r="U10" s="449" t="s">
        <v>1</v>
      </c>
      <c r="V10" s="378"/>
      <c r="W10" s="379"/>
      <c r="X10" s="378"/>
      <c r="Y10" s="379"/>
      <c r="Z10" s="392"/>
      <c r="AA10" s="449"/>
      <c r="AB10" s="378"/>
      <c r="AC10" s="379"/>
    </row>
    <row r="11" spans="1:52" s="411" customFormat="1" ht="13.5" customHeight="1">
      <c r="A11" s="451" t="s">
        <v>437</v>
      </c>
      <c r="B11" s="441"/>
      <c r="C11" s="442" t="s">
        <v>388</v>
      </c>
      <c r="D11" s="616"/>
      <c r="E11" s="617"/>
      <c r="F11" s="616"/>
      <c r="G11" s="617"/>
      <c r="H11" s="620" t="s">
        <v>1</v>
      </c>
      <c r="I11" s="621"/>
      <c r="J11" s="620">
        <f>12</f>
        <v>12</v>
      </c>
      <c r="K11" s="621"/>
      <c r="L11" s="620">
        <f>21</f>
        <v>21</v>
      </c>
      <c r="M11" s="621"/>
      <c r="N11" s="620">
        <f>17</f>
        <v>17</v>
      </c>
      <c r="O11" s="621"/>
      <c r="P11" s="620">
        <f>17</f>
        <v>17</v>
      </c>
      <c r="Q11" s="621"/>
      <c r="R11" s="620">
        <v>19</v>
      </c>
      <c r="S11" s="621"/>
      <c r="T11" s="620">
        <f>15</f>
        <v>15</v>
      </c>
      <c r="U11" s="621"/>
      <c r="V11" s="620">
        <f>22</f>
        <v>22</v>
      </c>
      <c r="W11" s="621"/>
      <c r="X11" s="620">
        <v>16</v>
      </c>
      <c r="Y11" s="621"/>
      <c r="Z11" s="620">
        <f>21</f>
        <v>21</v>
      </c>
      <c r="AA11" s="621"/>
      <c r="AB11" s="620">
        <f>18</f>
        <v>18</v>
      </c>
      <c r="AC11" s="621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</row>
    <row r="12" spans="1:52" s="411" customFormat="1" ht="13.5" customHeight="1">
      <c r="A12" s="451" t="s">
        <v>438</v>
      </c>
      <c r="B12" s="441"/>
      <c r="C12" s="442" t="s">
        <v>390</v>
      </c>
      <c r="D12" s="616"/>
      <c r="E12" s="617"/>
      <c r="F12" s="616"/>
      <c r="G12" s="617"/>
      <c r="H12" s="616"/>
      <c r="I12" s="617"/>
      <c r="J12" s="620">
        <f>J11</f>
        <v>12</v>
      </c>
      <c r="K12" s="621"/>
      <c r="L12" s="620">
        <f>J12+L11</f>
        <v>33</v>
      </c>
      <c r="M12" s="621"/>
      <c r="N12" s="620">
        <f>L12+N11</f>
        <v>50</v>
      </c>
      <c r="O12" s="621"/>
      <c r="P12" s="620">
        <f>N12+P11</f>
        <v>67</v>
      </c>
      <c r="Q12" s="621"/>
      <c r="R12" s="620">
        <f>P12+R11</f>
        <v>86</v>
      </c>
      <c r="S12" s="621"/>
      <c r="T12" s="620">
        <f>R12+T11</f>
        <v>101</v>
      </c>
      <c r="U12" s="621"/>
      <c r="V12" s="620">
        <f>T12+V11</f>
        <v>123</v>
      </c>
      <c r="W12" s="621"/>
      <c r="X12" s="620">
        <f>V12+X11</f>
        <v>139</v>
      </c>
      <c r="Y12" s="621"/>
      <c r="Z12" s="620">
        <f>X12+Z11</f>
        <v>160</v>
      </c>
      <c r="AA12" s="621"/>
      <c r="AB12" s="620">
        <v>178</v>
      </c>
      <c r="AC12" s="621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</row>
    <row r="13" spans="1:52" s="411" customFormat="1" ht="13.5" customHeight="1">
      <c r="A13" s="535">
        <v>178</v>
      </c>
      <c r="B13" s="452"/>
      <c r="C13" s="442" t="s">
        <v>391</v>
      </c>
      <c r="D13" s="616"/>
      <c r="E13" s="617"/>
      <c r="F13" s="616"/>
      <c r="G13" s="617"/>
      <c r="H13" s="616"/>
      <c r="I13" s="617"/>
      <c r="J13" s="620">
        <v>156</v>
      </c>
      <c r="K13" s="621"/>
      <c r="L13" s="620">
        <v>144</v>
      </c>
      <c r="M13" s="621"/>
      <c r="N13" s="620">
        <v>128</v>
      </c>
      <c r="O13" s="621"/>
      <c r="P13" s="620">
        <v>111</v>
      </c>
      <c r="Q13" s="621"/>
      <c r="R13" s="620">
        <v>92</v>
      </c>
      <c r="S13" s="621"/>
      <c r="T13" s="620">
        <v>67</v>
      </c>
      <c r="U13" s="621"/>
      <c r="V13" s="620">
        <v>55</v>
      </c>
      <c r="W13" s="621"/>
      <c r="X13" s="620">
        <v>39</v>
      </c>
      <c r="Y13" s="621"/>
      <c r="Z13" s="620">
        <v>19</v>
      </c>
      <c r="AA13" s="621"/>
      <c r="AB13" s="620">
        <v>0</v>
      </c>
      <c r="AC13" s="621"/>
      <c r="AD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</row>
    <row r="14" spans="1:52" s="536" customFormat="1" ht="13.5" customHeight="1" thickBot="1">
      <c r="A14" s="453"/>
      <c r="B14" s="436"/>
      <c r="C14" s="436"/>
      <c r="D14" s="370"/>
      <c r="E14" s="372"/>
      <c r="F14" s="370"/>
      <c r="G14" s="372"/>
      <c r="H14" s="370"/>
      <c r="I14" s="372"/>
      <c r="J14" s="370"/>
      <c r="K14" s="372"/>
      <c r="L14" s="370"/>
      <c r="M14" s="372"/>
      <c r="N14" s="370"/>
      <c r="O14" s="372"/>
      <c r="P14" s="370"/>
      <c r="Q14" s="372"/>
      <c r="R14" s="370"/>
      <c r="S14" s="372"/>
      <c r="T14" s="370"/>
      <c r="U14" s="372"/>
      <c r="V14" s="370"/>
      <c r="W14" s="372"/>
      <c r="X14" s="370"/>
      <c r="Y14" s="372"/>
      <c r="Z14" s="454"/>
      <c r="AA14" s="372"/>
      <c r="AB14" s="370"/>
      <c r="AC14" s="372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</row>
    <row r="15" spans="1:52" s="411" customFormat="1" ht="9.75" customHeight="1">
      <c r="A15" s="455"/>
      <c r="B15" s="437"/>
      <c r="C15" s="437"/>
      <c r="D15" s="373"/>
      <c r="E15" s="456"/>
      <c r="F15" s="373"/>
      <c r="G15" s="374"/>
      <c r="H15" s="373"/>
      <c r="I15" s="374"/>
      <c r="J15" s="373"/>
      <c r="K15" s="374"/>
      <c r="L15" s="373"/>
      <c r="M15" s="374"/>
      <c r="N15" s="373"/>
      <c r="O15" s="374"/>
      <c r="P15" s="373"/>
      <c r="Q15" s="374"/>
      <c r="R15" s="373"/>
      <c r="S15" s="374"/>
      <c r="T15" s="373"/>
      <c r="U15" s="374"/>
      <c r="V15" s="373"/>
      <c r="W15" s="374"/>
      <c r="X15" s="373"/>
      <c r="Y15" s="374"/>
      <c r="Z15" s="373"/>
      <c r="AA15" s="374"/>
      <c r="AB15" s="373"/>
      <c r="AC15" s="374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</row>
    <row r="16" spans="1:29" s="380" customFormat="1" ht="13.5" customHeight="1">
      <c r="A16" s="375" t="s">
        <v>439</v>
      </c>
      <c r="B16" s="376" t="s">
        <v>440</v>
      </c>
      <c r="C16" s="377" t="s">
        <v>441</v>
      </c>
      <c r="D16" s="378" t="s">
        <v>559</v>
      </c>
      <c r="E16" s="393">
        <v>42188</v>
      </c>
      <c r="F16" s="378" t="s">
        <v>560</v>
      </c>
      <c r="G16" s="393">
        <v>42229</v>
      </c>
      <c r="H16" s="378" t="s">
        <v>561</v>
      </c>
      <c r="I16" s="393">
        <v>42257</v>
      </c>
      <c r="J16" s="378" t="s">
        <v>562</v>
      </c>
      <c r="K16" s="393">
        <v>42285</v>
      </c>
      <c r="L16" s="378" t="s">
        <v>563</v>
      </c>
      <c r="M16" s="393">
        <v>42313</v>
      </c>
      <c r="N16" s="378" t="s">
        <v>564</v>
      </c>
      <c r="O16" s="393">
        <v>42341</v>
      </c>
      <c r="P16" s="378" t="s">
        <v>565</v>
      </c>
      <c r="Q16" s="393">
        <v>42018</v>
      </c>
      <c r="R16" s="378" t="s">
        <v>566</v>
      </c>
      <c r="S16" s="393">
        <v>42046</v>
      </c>
      <c r="T16" s="378" t="s">
        <v>567</v>
      </c>
      <c r="U16" s="393">
        <v>42073</v>
      </c>
      <c r="V16" s="378" t="s">
        <v>498</v>
      </c>
      <c r="W16" s="393">
        <v>42101</v>
      </c>
      <c r="X16" s="378" t="s">
        <v>499</v>
      </c>
      <c r="Y16" s="393">
        <v>42129</v>
      </c>
      <c r="Z16" s="378" t="s">
        <v>500</v>
      </c>
      <c r="AA16" s="393">
        <v>42157</v>
      </c>
      <c r="AB16" s="378" t="s">
        <v>501</v>
      </c>
      <c r="AC16" s="393">
        <v>42185</v>
      </c>
    </row>
    <row r="17" spans="1:30" s="380" customFormat="1" ht="13.5" customHeight="1">
      <c r="A17" s="375"/>
      <c r="B17" s="381"/>
      <c r="C17" s="443"/>
      <c r="D17" s="378" t="s">
        <v>568</v>
      </c>
      <c r="E17" s="393">
        <v>42201</v>
      </c>
      <c r="F17" s="378" t="s">
        <v>569</v>
      </c>
      <c r="G17" s="393">
        <v>42243</v>
      </c>
      <c r="H17" s="378" t="s">
        <v>570</v>
      </c>
      <c r="I17" s="393">
        <v>41906</v>
      </c>
      <c r="J17" s="378" t="s">
        <v>571</v>
      </c>
      <c r="K17" s="379">
        <v>42299</v>
      </c>
      <c r="L17" s="378" t="s">
        <v>572</v>
      </c>
      <c r="M17" s="393">
        <v>42327</v>
      </c>
      <c r="N17" s="378" t="s">
        <v>573</v>
      </c>
      <c r="O17" s="393">
        <v>42355</v>
      </c>
      <c r="P17" s="378" t="s">
        <v>574</v>
      </c>
      <c r="Q17" s="393">
        <v>42032</v>
      </c>
      <c r="R17" s="378" t="s">
        <v>575</v>
      </c>
      <c r="S17" s="393">
        <v>42060</v>
      </c>
      <c r="T17" s="378" t="s">
        <v>495</v>
      </c>
      <c r="U17" s="393">
        <v>42087</v>
      </c>
      <c r="V17" s="378" t="s">
        <v>496</v>
      </c>
      <c r="W17" s="379">
        <v>42115</v>
      </c>
      <c r="X17" s="378" t="s">
        <v>576</v>
      </c>
      <c r="Y17" s="393">
        <v>42143</v>
      </c>
      <c r="Z17" s="378" t="s">
        <v>497</v>
      </c>
      <c r="AA17" s="393">
        <v>42171</v>
      </c>
      <c r="AB17" s="378"/>
      <c r="AC17" s="379"/>
      <c r="AD17" s="368"/>
    </row>
    <row r="18" spans="1:30" s="380" customFormat="1" ht="13.5" customHeight="1">
      <c r="A18" s="375"/>
      <c r="B18" s="381"/>
      <c r="C18" s="443"/>
      <c r="D18" s="378" t="s">
        <v>577</v>
      </c>
      <c r="E18" s="393">
        <v>42215</v>
      </c>
      <c r="F18" s="378" t="s">
        <v>1</v>
      </c>
      <c r="G18" s="379" t="s">
        <v>1</v>
      </c>
      <c r="H18" s="378" t="s">
        <v>1</v>
      </c>
      <c r="I18" s="379" t="s">
        <v>1</v>
      </c>
      <c r="J18" s="457"/>
      <c r="K18" s="457"/>
      <c r="L18" s="378"/>
      <c r="M18" s="379"/>
      <c r="N18" s="378" t="s">
        <v>578</v>
      </c>
      <c r="O18" s="393">
        <v>42369</v>
      </c>
      <c r="P18" s="378" t="s">
        <v>1</v>
      </c>
      <c r="Q18" s="393" t="s">
        <v>1</v>
      </c>
      <c r="R18" s="378"/>
      <c r="S18" s="379"/>
      <c r="T18" s="378" t="s">
        <v>1</v>
      </c>
      <c r="U18" s="379" t="s">
        <v>1</v>
      </c>
      <c r="V18" s="457"/>
      <c r="W18" s="457"/>
      <c r="X18" s="378"/>
      <c r="Y18" s="379"/>
      <c r="Z18" s="378"/>
      <c r="AA18" s="379"/>
      <c r="AB18" s="378"/>
      <c r="AC18" s="379"/>
      <c r="AD18" s="368"/>
    </row>
    <row r="19" spans="1:52" s="411" customFormat="1" ht="13.5" customHeight="1">
      <c r="A19" s="430"/>
      <c r="B19" s="431"/>
      <c r="C19" s="538"/>
      <c r="D19" s="369"/>
      <c r="E19" s="390"/>
      <c r="F19" s="369"/>
      <c r="G19" s="391"/>
      <c r="H19" s="369"/>
      <c r="I19" s="391"/>
      <c r="J19" s="369"/>
      <c r="K19" s="391"/>
      <c r="L19" s="369"/>
      <c r="M19" s="391"/>
      <c r="N19" s="369"/>
      <c r="O19" s="391"/>
      <c r="P19" s="369"/>
      <c r="Q19" s="391"/>
      <c r="R19" s="369"/>
      <c r="S19" s="391"/>
      <c r="T19" s="369"/>
      <c r="U19" s="391"/>
      <c r="V19" s="369"/>
      <c r="W19" s="391"/>
      <c r="X19" s="369"/>
      <c r="Y19" s="391"/>
      <c r="Z19" s="369"/>
      <c r="AA19" s="391"/>
      <c r="AB19" s="378"/>
      <c r="AC19" s="379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</row>
    <row r="20" spans="1:52" s="411" customFormat="1" ht="13.5" customHeight="1">
      <c r="A20" s="430"/>
      <c r="B20" s="431"/>
      <c r="C20" s="538"/>
      <c r="D20" s="369"/>
      <c r="E20" s="390"/>
      <c r="F20" s="369"/>
      <c r="G20" s="391"/>
      <c r="H20" s="369"/>
      <c r="I20" s="391"/>
      <c r="J20" s="369"/>
      <c r="K20" s="391"/>
      <c r="L20" s="369"/>
      <c r="M20" s="391"/>
      <c r="N20" s="369"/>
      <c r="O20" s="391"/>
      <c r="P20" s="369"/>
      <c r="Q20" s="391"/>
      <c r="R20" s="369"/>
      <c r="S20" s="391"/>
      <c r="T20" s="369"/>
      <c r="U20" s="391"/>
      <c r="V20" s="369"/>
      <c r="W20" s="391"/>
      <c r="X20" s="369"/>
      <c r="Y20" s="391"/>
      <c r="Z20" s="369"/>
      <c r="AA20" s="391"/>
      <c r="AB20" s="378"/>
      <c r="AC20" s="379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</row>
    <row r="21" spans="1:52" s="411" customFormat="1" ht="13.5" customHeight="1">
      <c r="A21" s="440"/>
      <c r="B21" s="441"/>
      <c r="C21" s="442" t="s">
        <v>388</v>
      </c>
      <c r="D21" s="614">
        <f>2/14+2</f>
        <v>2.142857142857143</v>
      </c>
      <c r="E21" s="615"/>
      <c r="F21" s="614">
        <v>2</v>
      </c>
      <c r="G21" s="615"/>
      <c r="H21" s="614">
        <v>2</v>
      </c>
      <c r="I21" s="615"/>
      <c r="J21" s="614">
        <v>2</v>
      </c>
      <c r="K21" s="615"/>
      <c r="L21" s="614">
        <v>2</v>
      </c>
      <c r="M21" s="615"/>
      <c r="N21" s="614">
        <v>3</v>
      </c>
      <c r="O21" s="615"/>
      <c r="P21" s="614">
        <v>2</v>
      </c>
      <c r="Q21" s="615"/>
      <c r="R21" s="614">
        <v>2</v>
      </c>
      <c r="S21" s="615"/>
      <c r="T21" s="614">
        <v>2</v>
      </c>
      <c r="U21" s="615"/>
      <c r="V21" s="614">
        <v>2</v>
      </c>
      <c r="W21" s="615"/>
      <c r="X21" s="614">
        <v>2</v>
      </c>
      <c r="Y21" s="615"/>
      <c r="Z21" s="614">
        <v>2</v>
      </c>
      <c r="AA21" s="615"/>
      <c r="AB21" s="614">
        <f>1</f>
        <v>1</v>
      </c>
      <c r="AC21" s="615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</row>
    <row r="22" spans="1:52" s="411" customFormat="1" ht="13.5" customHeight="1">
      <c r="A22" s="440" t="s">
        <v>389</v>
      </c>
      <c r="B22" s="441"/>
      <c r="C22" s="442" t="s">
        <v>390</v>
      </c>
      <c r="D22" s="614">
        <f>D21</f>
        <v>2.142857142857143</v>
      </c>
      <c r="E22" s="615"/>
      <c r="F22" s="614">
        <f>D22+F21</f>
        <v>4.142857142857142</v>
      </c>
      <c r="G22" s="615"/>
      <c r="H22" s="614">
        <f>F22+H21</f>
        <v>6.142857142857142</v>
      </c>
      <c r="I22" s="615"/>
      <c r="J22" s="614">
        <f>H22+J21</f>
        <v>8.142857142857142</v>
      </c>
      <c r="K22" s="615"/>
      <c r="L22" s="614">
        <f>J22+L21</f>
        <v>10.142857142857142</v>
      </c>
      <c r="M22" s="615"/>
      <c r="N22" s="614">
        <f>L22+N21</f>
        <v>13.142857142857142</v>
      </c>
      <c r="O22" s="615"/>
      <c r="P22" s="614">
        <f>N22+P21</f>
        <v>15.142857142857142</v>
      </c>
      <c r="Q22" s="615"/>
      <c r="R22" s="614">
        <f>P22+R21</f>
        <v>17.142857142857142</v>
      </c>
      <c r="S22" s="615"/>
      <c r="T22" s="614">
        <f>R22+T21</f>
        <v>19.142857142857142</v>
      </c>
      <c r="U22" s="615"/>
      <c r="V22" s="614">
        <f>T22+V21</f>
        <v>21.142857142857142</v>
      </c>
      <c r="W22" s="615"/>
      <c r="X22" s="614">
        <f>V22+X21</f>
        <v>23.142857142857142</v>
      </c>
      <c r="Y22" s="615"/>
      <c r="Z22" s="614">
        <f>X22+Z21</f>
        <v>25.142857142857142</v>
      </c>
      <c r="AA22" s="615"/>
      <c r="AB22" s="614">
        <f>Z22+AB21</f>
        <v>26.142857142857142</v>
      </c>
      <c r="AC22" s="615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</row>
    <row r="23" spans="1:52" s="411" customFormat="1" ht="13.5" customHeight="1">
      <c r="A23" s="386">
        <v>26.14</v>
      </c>
      <c r="B23" s="387"/>
      <c r="C23" s="442" t="s">
        <v>391</v>
      </c>
      <c r="D23" s="614">
        <f>A23-D22</f>
        <v>23.997142857142858</v>
      </c>
      <c r="E23" s="615"/>
      <c r="F23" s="614">
        <f>$A$23-F22</f>
        <v>21.997142857142858</v>
      </c>
      <c r="G23" s="615"/>
      <c r="H23" s="614">
        <f>$A$23-H22</f>
        <v>19.997142857142858</v>
      </c>
      <c r="I23" s="615"/>
      <c r="J23" s="614">
        <f>$A$23-J22</f>
        <v>17.997142857142858</v>
      </c>
      <c r="K23" s="615"/>
      <c r="L23" s="614">
        <f>$A$23-L22</f>
        <v>15.997142857142858</v>
      </c>
      <c r="M23" s="615"/>
      <c r="N23" s="614">
        <f>$A$23-N22</f>
        <v>12.997142857142858</v>
      </c>
      <c r="O23" s="615"/>
      <c r="P23" s="614">
        <f>$A$23-P22</f>
        <v>10.997142857142858</v>
      </c>
      <c r="Q23" s="615"/>
      <c r="R23" s="614">
        <f>$A$23-R22</f>
        <v>8.997142857142858</v>
      </c>
      <c r="S23" s="615"/>
      <c r="T23" s="614">
        <f>$A$23-T22</f>
        <v>6.997142857142858</v>
      </c>
      <c r="U23" s="615"/>
      <c r="V23" s="614">
        <f>$A$23-V22</f>
        <v>4.997142857142858</v>
      </c>
      <c r="W23" s="615"/>
      <c r="X23" s="614">
        <f>$A$23-X22</f>
        <v>2.997142857142858</v>
      </c>
      <c r="Y23" s="615"/>
      <c r="Z23" s="614">
        <f>$A$23-Z22</f>
        <v>0.9971428571428582</v>
      </c>
      <c r="AA23" s="615"/>
      <c r="AB23" s="614">
        <f>$A$23-AB22</f>
        <v>-0.002857142857141781</v>
      </c>
      <c r="AC23" s="615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</row>
    <row r="24" spans="1:52" s="411" customFormat="1" ht="13.5" customHeight="1" thickBot="1">
      <c r="A24" s="454"/>
      <c r="B24" s="458"/>
      <c r="C24" s="459"/>
      <c r="D24" s="370"/>
      <c r="E24" s="409"/>
      <c r="F24" s="408"/>
      <c r="G24" s="409"/>
      <c r="H24" s="408"/>
      <c r="I24" s="409"/>
      <c r="J24" s="408"/>
      <c r="K24" s="409"/>
      <c r="L24" s="408"/>
      <c r="M24" s="409"/>
      <c r="N24" s="408"/>
      <c r="O24" s="409"/>
      <c r="P24" s="408"/>
      <c r="Q24" s="409"/>
      <c r="R24" s="460"/>
      <c r="S24" s="461"/>
      <c r="T24" s="408"/>
      <c r="U24" s="409"/>
      <c r="V24" s="408"/>
      <c r="W24" s="409"/>
      <c r="X24" s="408"/>
      <c r="Y24" s="409"/>
      <c r="Z24" s="408"/>
      <c r="AA24" s="409"/>
      <c r="AB24" s="408"/>
      <c r="AC24" s="409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</row>
    <row r="25" spans="1:52" s="411" customFormat="1" ht="9.75" customHeight="1">
      <c r="A25" s="462"/>
      <c r="B25" s="463"/>
      <c r="C25" s="463"/>
      <c r="D25" s="464"/>
      <c r="E25" s="465"/>
      <c r="F25" s="464"/>
      <c r="G25" s="466"/>
      <c r="H25" s="464"/>
      <c r="I25" s="467"/>
      <c r="J25" s="464"/>
      <c r="K25" s="467"/>
      <c r="L25" s="464"/>
      <c r="M25" s="467"/>
      <c r="N25" s="464"/>
      <c r="O25" s="467"/>
      <c r="P25" s="464"/>
      <c r="Q25" s="467"/>
      <c r="R25" s="464"/>
      <c r="S25" s="467"/>
      <c r="T25" s="464"/>
      <c r="U25" s="467"/>
      <c r="V25" s="464"/>
      <c r="W25" s="467"/>
      <c r="X25" s="464"/>
      <c r="Y25" s="467"/>
      <c r="Z25" s="464"/>
      <c r="AA25" s="467"/>
      <c r="AB25" s="468"/>
      <c r="AC25" s="532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</row>
    <row r="26" spans="1:29" s="380" customFormat="1" ht="13.5" customHeight="1">
      <c r="A26" s="469" t="s">
        <v>442</v>
      </c>
      <c r="B26" s="470" t="s">
        <v>443</v>
      </c>
      <c r="C26" s="493" t="s">
        <v>444</v>
      </c>
      <c r="D26" s="448" t="s">
        <v>1</v>
      </c>
      <c r="E26" s="471"/>
      <c r="F26" s="448"/>
      <c r="G26" s="472"/>
      <c r="H26" s="448" t="s">
        <v>1</v>
      </c>
      <c r="I26" s="473" t="s">
        <v>1</v>
      </c>
      <c r="J26" s="448" t="s">
        <v>579</v>
      </c>
      <c r="K26" s="473">
        <v>42285</v>
      </c>
      <c r="L26" s="448" t="s">
        <v>580</v>
      </c>
      <c r="M26" s="473">
        <v>42313</v>
      </c>
      <c r="N26" s="448" t="s">
        <v>581</v>
      </c>
      <c r="O26" s="473">
        <v>42341</v>
      </c>
      <c r="P26" s="448" t="s">
        <v>582</v>
      </c>
      <c r="Q26" s="473">
        <v>42383</v>
      </c>
      <c r="R26" s="448" t="s">
        <v>583</v>
      </c>
      <c r="S26" s="473">
        <v>42411</v>
      </c>
      <c r="T26" s="448" t="s">
        <v>584</v>
      </c>
      <c r="U26" s="473">
        <v>42439</v>
      </c>
      <c r="V26" s="448" t="s">
        <v>585</v>
      </c>
      <c r="W26" s="473">
        <v>42467</v>
      </c>
      <c r="X26" s="448" t="s">
        <v>586</v>
      </c>
      <c r="Y26" s="473">
        <v>42495</v>
      </c>
      <c r="Z26" s="448" t="s">
        <v>587</v>
      </c>
      <c r="AA26" s="473">
        <v>42523</v>
      </c>
      <c r="AB26" s="448" t="s">
        <v>588</v>
      </c>
      <c r="AC26" s="473">
        <v>42185</v>
      </c>
    </row>
    <row r="27" spans="1:29" s="380" customFormat="1" ht="13.5" customHeight="1">
      <c r="A27" s="469" t="s">
        <v>445</v>
      </c>
      <c r="B27" s="474"/>
      <c r="C27" s="493" t="s">
        <v>446</v>
      </c>
      <c r="D27" s="448"/>
      <c r="E27" s="471"/>
      <c r="F27" s="448"/>
      <c r="G27" s="472"/>
      <c r="H27" s="448" t="s">
        <v>589</v>
      </c>
      <c r="I27" s="473">
        <v>42271</v>
      </c>
      <c r="J27" s="448" t="s">
        <v>590</v>
      </c>
      <c r="K27" s="473">
        <v>42299</v>
      </c>
      <c r="L27" s="448" t="s">
        <v>591</v>
      </c>
      <c r="M27" s="473">
        <v>42327</v>
      </c>
      <c r="N27" s="448" t="s">
        <v>592</v>
      </c>
      <c r="O27" s="473">
        <v>42355</v>
      </c>
      <c r="P27" s="448" t="s">
        <v>593</v>
      </c>
      <c r="Q27" s="473">
        <v>42397</v>
      </c>
      <c r="R27" s="448" t="s">
        <v>594</v>
      </c>
      <c r="S27" s="473">
        <v>42425</v>
      </c>
      <c r="T27" s="448" t="s">
        <v>595</v>
      </c>
      <c r="U27" s="473">
        <v>42453</v>
      </c>
      <c r="V27" s="448" t="s">
        <v>596</v>
      </c>
      <c r="W27" s="473">
        <v>42481</v>
      </c>
      <c r="X27" s="448" t="s">
        <v>597</v>
      </c>
      <c r="Y27" s="473">
        <v>42143</v>
      </c>
      <c r="Z27" s="448" t="s">
        <v>598</v>
      </c>
      <c r="AA27" s="473">
        <v>42537</v>
      </c>
      <c r="AB27" s="448" t="s">
        <v>599</v>
      </c>
      <c r="AC27" s="473">
        <v>42565</v>
      </c>
    </row>
    <row r="28" spans="1:29" s="380" customFormat="1" ht="13.5" customHeight="1">
      <c r="A28" s="469" t="s">
        <v>447</v>
      </c>
      <c r="B28" s="474"/>
      <c r="C28" s="493" t="s">
        <v>448</v>
      </c>
      <c r="D28" s="448"/>
      <c r="E28" s="471"/>
      <c r="F28" s="448"/>
      <c r="G28" s="472"/>
      <c r="H28" s="475"/>
      <c r="I28" s="476"/>
      <c r="J28" s="475"/>
      <c r="K28" s="476"/>
      <c r="L28" s="448"/>
      <c r="M28" s="473"/>
      <c r="N28" s="448" t="s">
        <v>600</v>
      </c>
      <c r="O28" s="473">
        <v>42369</v>
      </c>
      <c r="P28" s="448" t="s">
        <v>1</v>
      </c>
      <c r="Q28" s="473" t="s">
        <v>1</v>
      </c>
      <c r="R28" s="448"/>
      <c r="S28" s="473"/>
      <c r="T28" s="448" t="s">
        <v>1</v>
      </c>
      <c r="U28" s="473" t="s">
        <v>1</v>
      </c>
      <c r="V28" s="448"/>
      <c r="W28" s="473"/>
      <c r="X28" s="448"/>
      <c r="Y28" s="473"/>
      <c r="Z28" s="448"/>
      <c r="AA28" s="473"/>
      <c r="AB28" s="448" t="s">
        <v>601</v>
      </c>
      <c r="AC28" s="473">
        <v>42579</v>
      </c>
    </row>
    <row r="29" spans="1:52" s="411" customFormat="1" ht="13.5" customHeight="1">
      <c r="A29" s="477"/>
      <c r="B29" s="478"/>
      <c r="C29" s="479"/>
      <c r="D29" s="448"/>
      <c r="E29" s="476"/>
      <c r="F29" s="475"/>
      <c r="G29" s="476"/>
      <c r="H29" s="475"/>
      <c r="I29" s="476"/>
      <c r="J29" s="475"/>
      <c r="K29" s="476"/>
      <c r="L29" s="475"/>
      <c r="M29" s="476"/>
      <c r="N29" s="475"/>
      <c r="O29" s="476"/>
      <c r="P29" s="475"/>
      <c r="Q29" s="476"/>
      <c r="R29" s="475"/>
      <c r="S29" s="476"/>
      <c r="T29" s="475"/>
      <c r="U29" s="476"/>
      <c r="V29" s="475"/>
      <c r="W29" s="476"/>
      <c r="X29" s="475"/>
      <c r="Y29" s="476"/>
      <c r="Z29" s="475"/>
      <c r="AA29" s="476"/>
      <c r="AB29" s="448" t="s">
        <v>602</v>
      </c>
      <c r="AC29" s="473">
        <v>42593</v>
      </c>
      <c r="AD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</row>
    <row r="30" spans="1:52" s="411" customFormat="1" ht="13.5" customHeight="1">
      <c r="A30" s="477"/>
      <c r="B30" s="478"/>
      <c r="C30" s="479"/>
      <c r="D30" s="448"/>
      <c r="E30" s="476"/>
      <c r="F30" s="475"/>
      <c r="G30" s="476"/>
      <c r="H30" s="475"/>
      <c r="I30" s="476"/>
      <c r="J30" s="475"/>
      <c r="K30" s="476"/>
      <c r="L30" s="475"/>
      <c r="M30" s="476"/>
      <c r="N30" s="475"/>
      <c r="O30" s="476"/>
      <c r="P30" s="475"/>
      <c r="Q30" s="476"/>
      <c r="R30" s="475"/>
      <c r="S30" s="476"/>
      <c r="T30" s="475"/>
      <c r="U30" s="476"/>
      <c r="V30" s="475"/>
      <c r="W30" s="476"/>
      <c r="X30" s="475"/>
      <c r="Y30" s="476"/>
      <c r="Z30" s="475"/>
      <c r="AA30" s="476"/>
      <c r="AB30" s="448" t="s">
        <v>603</v>
      </c>
      <c r="AC30" s="473">
        <v>42607</v>
      </c>
      <c r="AD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</row>
    <row r="31" spans="1:52" s="411" customFormat="1" ht="13.5" customHeight="1">
      <c r="A31" s="477"/>
      <c r="B31" s="478"/>
      <c r="C31" s="479"/>
      <c r="D31" s="448"/>
      <c r="E31" s="476"/>
      <c r="F31" s="475"/>
      <c r="G31" s="476"/>
      <c r="H31" s="475"/>
      <c r="I31" s="476"/>
      <c r="J31" s="475"/>
      <c r="K31" s="476"/>
      <c r="L31" s="475"/>
      <c r="M31" s="476"/>
      <c r="N31" s="475"/>
      <c r="O31" s="476"/>
      <c r="P31" s="475"/>
      <c r="Q31" s="476"/>
      <c r="R31" s="475"/>
      <c r="S31" s="476"/>
      <c r="T31" s="475"/>
      <c r="U31" s="476"/>
      <c r="V31" s="475"/>
      <c r="W31" s="476"/>
      <c r="X31" s="475"/>
      <c r="Y31" s="476"/>
      <c r="Z31" s="475"/>
      <c r="AA31" s="476"/>
      <c r="AB31" s="448" t="s">
        <v>604</v>
      </c>
      <c r="AC31" s="473">
        <v>42621</v>
      </c>
      <c r="AD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</row>
    <row r="32" spans="1:52" s="411" customFormat="1" ht="13.5" customHeight="1">
      <c r="A32" s="480"/>
      <c r="B32" s="481"/>
      <c r="C32" s="482" t="s">
        <v>388</v>
      </c>
      <c r="D32" s="622"/>
      <c r="E32" s="623"/>
      <c r="F32" s="622"/>
      <c r="G32" s="623"/>
      <c r="H32" s="624">
        <f>1</f>
        <v>1</v>
      </c>
      <c r="I32" s="625"/>
      <c r="J32" s="624">
        <v>2</v>
      </c>
      <c r="K32" s="625"/>
      <c r="L32" s="624">
        <v>2</v>
      </c>
      <c r="M32" s="625"/>
      <c r="N32" s="624">
        <v>3</v>
      </c>
      <c r="O32" s="625"/>
      <c r="P32" s="624">
        <v>2</v>
      </c>
      <c r="Q32" s="625"/>
      <c r="R32" s="624">
        <v>2</v>
      </c>
      <c r="S32" s="625"/>
      <c r="T32" s="624">
        <v>2</v>
      </c>
      <c r="U32" s="625"/>
      <c r="V32" s="624">
        <v>2</v>
      </c>
      <c r="W32" s="625"/>
      <c r="X32" s="624">
        <v>2</v>
      </c>
      <c r="Y32" s="625"/>
      <c r="Z32" s="624">
        <v>2</v>
      </c>
      <c r="AA32" s="625"/>
      <c r="AB32" s="626">
        <v>6</v>
      </c>
      <c r="AC32" s="627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</row>
    <row r="33" spans="1:52" s="411" customFormat="1" ht="13.5" customHeight="1">
      <c r="A33" s="480" t="s">
        <v>449</v>
      </c>
      <c r="B33" s="481"/>
      <c r="C33" s="482" t="s">
        <v>390</v>
      </c>
      <c r="D33" s="622"/>
      <c r="E33" s="623"/>
      <c r="F33" s="622"/>
      <c r="G33" s="623"/>
      <c r="H33" s="624">
        <f>H32</f>
        <v>1</v>
      </c>
      <c r="I33" s="625"/>
      <c r="J33" s="624">
        <f>J32+H33</f>
        <v>3</v>
      </c>
      <c r="K33" s="625"/>
      <c r="L33" s="624">
        <f>J33+L32</f>
        <v>5</v>
      </c>
      <c r="M33" s="625"/>
      <c r="N33" s="624">
        <f>L33+N32</f>
        <v>8</v>
      </c>
      <c r="O33" s="625"/>
      <c r="P33" s="624">
        <f>N33+P32</f>
        <v>10</v>
      </c>
      <c r="Q33" s="625"/>
      <c r="R33" s="624">
        <f>P33+R32</f>
        <v>12</v>
      </c>
      <c r="S33" s="625"/>
      <c r="T33" s="624">
        <f>R33+T32</f>
        <v>14</v>
      </c>
      <c r="U33" s="625"/>
      <c r="V33" s="624">
        <f>T33+V32</f>
        <v>16</v>
      </c>
      <c r="W33" s="625"/>
      <c r="X33" s="624">
        <f>V33+X32</f>
        <v>18</v>
      </c>
      <c r="Y33" s="625"/>
      <c r="Z33" s="624">
        <f>X33+Z32</f>
        <v>20</v>
      </c>
      <c r="AA33" s="625"/>
      <c r="AB33" s="626">
        <f>Z33+AB32</f>
        <v>26</v>
      </c>
      <c r="AC33" s="627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</row>
    <row r="34" spans="1:52" s="411" customFormat="1" ht="13.5" customHeight="1">
      <c r="A34" s="483">
        <f>26</f>
        <v>26</v>
      </c>
      <c r="B34" s="484"/>
      <c r="C34" s="482" t="s">
        <v>391</v>
      </c>
      <c r="D34" s="622"/>
      <c r="E34" s="623"/>
      <c r="F34" s="622"/>
      <c r="G34" s="623"/>
      <c r="H34" s="624">
        <f>A34-H33</f>
        <v>25</v>
      </c>
      <c r="I34" s="625"/>
      <c r="J34" s="624">
        <f>H34-J32</f>
        <v>23</v>
      </c>
      <c r="K34" s="625"/>
      <c r="L34" s="624">
        <f>J34-L32</f>
        <v>21</v>
      </c>
      <c r="M34" s="625"/>
      <c r="N34" s="624">
        <f>L34-N32</f>
        <v>18</v>
      </c>
      <c r="O34" s="625"/>
      <c r="P34" s="624">
        <f>N34-P32</f>
        <v>16</v>
      </c>
      <c r="Q34" s="625"/>
      <c r="R34" s="624">
        <f>P34-R32</f>
        <v>14</v>
      </c>
      <c r="S34" s="625"/>
      <c r="T34" s="624">
        <f>R34-T32</f>
        <v>12</v>
      </c>
      <c r="U34" s="625"/>
      <c r="V34" s="624">
        <f>T34-V32</f>
        <v>10</v>
      </c>
      <c r="W34" s="625"/>
      <c r="X34" s="624">
        <f>V34-X32</f>
        <v>8</v>
      </c>
      <c r="Y34" s="625"/>
      <c r="Z34" s="624">
        <f>X34-Z32</f>
        <v>6</v>
      </c>
      <c r="AA34" s="625"/>
      <c r="AB34" s="626">
        <f>Z34-AB32</f>
        <v>0</v>
      </c>
      <c r="AC34" s="627"/>
      <c r="AD34" s="380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</row>
    <row r="35" spans="1:52" s="411" customFormat="1" ht="13.5" customHeight="1" thickBot="1">
      <c r="A35" s="485"/>
      <c r="B35" s="486"/>
      <c r="C35" s="486"/>
      <c r="D35" s="485"/>
      <c r="E35" s="487"/>
      <c r="F35" s="485"/>
      <c r="G35" s="487"/>
      <c r="H35" s="485"/>
      <c r="I35" s="487"/>
      <c r="J35" s="485"/>
      <c r="K35" s="487"/>
      <c r="L35" s="485"/>
      <c r="M35" s="487"/>
      <c r="N35" s="485"/>
      <c r="O35" s="487"/>
      <c r="P35" s="485"/>
      <c r="Q35" s="487"/>
      <c r="R35" s="485"/>
      <c r="S35" s="487"/>
      <c r="T35" s="485"/>
      <c r="U35" s="487"/>
      <c r="V35" s="485"/>
      <c r="W35" s="487"/>
      <c r="X35" s="485"/>
      <c r="Y35" s="487"/>
      <c r="Z35" s="485"/>
      <c r="AA35" s="487"/>
      <c r="AB35" s="488" t="s">
        <v>506</v>
      </c>
      <c r="AC35" s="487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</row>
    <row r="36" spans="1:52" s="411" customFormat="1" ht="9.75" customHeight="1">
      <c r="A36" s="475"/>
      <c r="B36" s="489"/>
      <c r="C36" s="489"/>
      <c r="D36" s="475"/>
      <c r="E36" s="491"/>
      <c r="F36" s="475"/>
      <c r="G36" s="492"/>
      <c r="H36" s="475"/>
      <c r="I36" s="492"/>
      <c r="J36" s="475"/>
      <c r="K36" s="492"/>
      <c r="L36" s="475"/>
      <c r="M36" s="492"/>
      <c r="N36" s="475"/>
      <c r="O36" s="492"/>
      <c r="P36" s="475"/>
      <c r="Q36" s="492"/>
      <c r="R36" s="475"/>
      <c r="S36" s="492"/>
      <c r="T36" s="475"/>
      <c r="U36" s="492"/>
      <c r="V36" s="475"/>
      <c r="W36" s="492"/>
      <c r="X36" s="475"/>
      <c r="Y36" s="492"/>
      <c r="Z36" s="475"/>
      <c r="AA36" s="492"/>
      <c r="AB36" s="475"/>
      <c r="AC36" s="492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</row>
    <row r="37" spans="1:29" s="380" customFormat="1" ht="13.5" customHeight="1">
      <c r="A37" s="469" t="s">
        <v>450</v>
      </c>
      <c r="B37" s="470" t="s">
        <v>443</v>
      </c>
      <c r="C37" s="493" t="s">
        <v>451</v>
      </c>
      <c r="D37" s="448" t="s">
        <v>501</v>
      </c>
      <c r="E37" s="473">
        <v>42200</v>
      </c>
      <c r="F37" s="448" t="s">
        <v>503</v>
      </c>
      <c r="G37" s="473">
        <v>42228</v>
      </c>
      <c r="H37" s="448" t="s">
        <v>505</v>
      </c>
      <c r="I37" s="494">
        <v>42256</v>
      </c>
      <c r="J37" s="448" t="str">
        <f>J26</f>
        <v>9/9-9/22</v>
      </c>
      <c r="K37" s="473">
        <f>K26</f>
        <v>42285</v>
      </c>
      <c r="L37" s="448" t="str">
        <f aca="true" t="shared" si="0" ref="L37:AC38">L26</f>
        <v>10/07-10/20</v>
      </c>
      <c r="M37" s="473">
        <f t="shared" si="0"/>
        <v>42313</v>
      </c>
      <c r="N37" s="448" t="str">
        <f t="shared" si="0"/>
        <v>11/4-11/17</v>
      </c>
      <c r="O37" s="473">
        <f t="shared" si="0"/>
        <v>42341</v>
      </c>
      <c r="P37" s="448" t="str">
        <f t="shared" si="0"/>
        <v>12/16-12/29</v>
      </c>
      <c r="Q37" s="473">
        <f t="shared" si="0"/>
        <v>42383</v>
      </c>
      <c r="R37" s="448" t="str">
        <f t="shared" si="0"/>
        <v>1/13-1/26</v>
      </c>
      <c r="S37" s="473">
        <f t="shared" si="0"/>
        <v>42411</v>
      </c>
      <c r="T37" s="448" t="str">
        <f t="shared" si="0"/>
        <v>2/10-2/23</v>
      </c>
      <c r="U37" s="473">
        <f t="shared" si="0"/>
        <v>42439</v>
      </c>
      <c r="V37" s="448" t="str">
        <f t="shared" si="0"/>
        <v>3/9-3/22</v>
      </c>
      <c r="W37" s="473">
        <f t="shared" si="0"/>
        <v>42467</v>
      </c>
      <c r="X37" s="448" t="str">
        <f t="shared" si="0"/>
        <v>4/6-4/19</v>
      </c>
      <c r="Y37" s="473">
        <f t="shared" si="0"/>
        <v>42495</v>
      </c>
      <c r="Z37" s="448" t="str">
        <f t="shared" si="0"/>
        <v>5/4-5/17</v>
      </c>
      <c r="AA37" s="473">
        <f t="shared" si="0"/>
        <v>42523</v>
      </c>
      <c r="AB37" s="448" t="str">
        <f t="shared" si="0"/>
        <v>6/1-6/14</v>
      </c>
      <c r="AC37" s="473">
        <f t="shared" si="0"/>
        <v>42185</v>
      </c>
    </row>
    <row r="38" spans="1:29" s="380" customFormat="1" ht="13.5" customHeight="1">
      <c r="A38" s="469"/>
      <c r="B38" s="474"/>
      <c r="C38" s="493"/>
      <c r="D38" s="448" t="s">
        <v>502</v>
      </c>
      <c r="E38" s="473">
        <v>42214</v>
      </c>
      <c r="F38" s="448" t="s">
        <v>504</v>
      </c>
      <c r="G38" s="473">
        <v>42242</v>
      </c>
      <c r="H38" s="448" t="str">
        <f>H27</f>
        <v>8/26-9/8</v>
      </c>
      <c r="I38" s="473">
        <f>I27</f>
        <v>42271</v>
      </c>
      <c r="J38" s="448" t="str">
        <f>J27</f>
        <v>9/23-10/6</v>
      </c>
      <c r="K38" s="473">
        <f>K27</f>
        <v>42299</v>
      </c>
      <c r="L38" s="448" t="str">
        <f t="shared" si="0"/>
        <v>10/21-11/3</v>
      </c>
      <c r="M38" s="473">
        <f t="shared" si="0"/>
        <v>42327</v>
      </c>
      <c r="N38" s="448" t="str">
        <f t="shared" si="0"/>
        <v>11/18-12/1</v>
      </c>
      <c r="O38" s="473">
        <f t="shared" si="0"/>
        <v>42355</v>
      </c>
      <c r="P38" s="448" t="str">
        <f t="shared" si="0"/>
        <v>12/30-1/12</v>
      </c>
      <c r="Q38" s="473">
        <f t="shared" si="0"/>
        <v>42397</v>
      </c>
      <c r="R38" s="448" t="str">
        <f t="shared" si="0"/>
        <v>1/27-2/9</v>
      </c>
      <c r="S38" s="473">
        <f t="shared" si="0"/>
        <v>42425</v>
      </c>
      <c r="T38" s="448" t="str">
        <f t="shared" si="0"/>
        <v>2/24-3/8</v>
      </c>
      <c r="U38" s="473">
        <f t="shared" si="0"/>
        <v>42453</v>
      </c>
      <c r="V38" s="448" t="str">
        <f t="shared" si="0"/>
        <v>3/23-4/5</v>
      </c>
      <c r="W38" s="473">
        <f t="shared" si="0"/>
        <v>42481</v>
      </c>
      <c r="X38" s="448" t="str">
        <f t="shared" si="0"/>
        <v>4/20-5/3</v>
      </c>
      <c r="Y38" s="473">
        <f t="shared" si="0"/>
        <v>42143</v>
      </c>
      <c r="Z38" s="448" t="str">
        <f t="shared" si="0"/>
        <v>5/18-5/31</v>
      </c>
      <c r="AA38" s="473">
        <f t="shared" si="0"/>
        <v>42537</v>
      </c>
      <c r="AB38" s="448" t="str">
        <f t="shared" si="0"/>
        <v>6/15-6/28</v>
      </c>
      <c r="AC38" s="473">
        <f>AC27</f>
        <v>42565</v>
      </c>
    </row>
    <row r="39" spans="1:29" s="380" customFormat="1" ht="13.5" customHeight="1">
      <c r="A39" s="469"/>
      <c r="B39" s="474"/>
      <c r="C39" s="493"/>
      <c r="D39" s="495"/>
      <c r="E39" s="496"/>
      <c r="F39" s="448" t="s">
        <v>1</v>
      </c>
      <c r="G39" s="473" t="s">
        <v>1</v>
      </c>
      <c r="H39" s="448" t="s">
        <v>1</v>
      </c>
      <c r="I39" s="473" t="s">
        <v>1</v>
      </c>
      <c r="J39" s="490"/>
      <c r="K39" s="497"/>
      <c r="L39" s="448"/>
      <c r="M39" s="473"/>
      <c r="N39" s="448"/>
      <c r="O39" s="473"/>
      <c r="P39" s="448" t="str">
        <f>P28</f>
        <v> </v>
      </c>
      <c r="Q39" s="473" t="str">
        <f>Q28</f>
        <v> </v>
      </c>
      <c r="R39" s="448"/>
      <c r="S39" s="473"/>
      <c r="T39" s="448" t="s">
        <v>1</v>
      </c>
      <c r="U39" s="473" t="s">
        <v>1</v>
      </c>
      <c r="V39" s="448"/>
      <c r="W39" s="473"/>
      <c r="X39" s="448"/>
      <c r="Y39" s="473"/>
      <c r="Z39" s="448"/>
      <c r="AA39" s="473"/>
      <c r="AB39" s="448" t="s">
        <v>605</v>
      </c>
      <c r="AC39" s="473">
        <f>AC28</f>
        <v>42579</v>
      </c>
    </row>
    <row r="40" spans="1:52" s="411" customFormat="1" ht="13.5" customHeight="1">
      <c r="A40" s="475"/>
      <c r="B40" s="489"/>
      <c r="C40" s="539"/>
      <c r="D40" s="490"/>
      <c r="E40" s="498"/>
      <c r="F40" s="490"/>
      <c r="G40" s="497"/>
      <c r="H40" s="490"/>
      <c r="I40" s="497"/>
      <c r="J40" s="490"/>
      <c r="K40" s="497"/>
      <c r="L40" s="490"/>
      <c r="M40" s="497"/>
      <c r="N40" s="490"/>
      <c r="O40" s="497"/>
      <c r="P40" s="490"/>
      <c r="Q40" s="497"/>
      <c r="R40" s="490"/>
      <c r="S40" s="497"/>
      <c r="T40" s="490"/>
      <c r="U40" s="497"/>
      <c r="V40" s="490"/>
      <c r="W40" s="497"/>
      <c r="X40" s="490"/>
      <c r="Y40" s="497"/>
      <c r="Z40" s="490"/>
      <c r="AA40" s="497"/>
      <c r="AB40" s="490"/>
      <c r="AC40" s="497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</row>
    <row r="41" spans="1:52" s="411" customFormat="1" ht="13.5" customHeight="1">
      <c r="A41" s="480"/>
      <c r="B41" s="481"/>
      <c r="C41" s="482" t="s">
        <v>388</v>
      </c>
      <c r="D41" s="624">
        <f>1</f>
        <v>1</v>
      </c>
      <c r="E41" s="625"/>
      <c r="F41" s="624">
        <v>2</v>
      </c>
      <c r="G41" s="625"/>
      <c r="H41" s="624">
        <v>2</v>
      </c>
      <c r="I41" s="625"/>
      <c r="J41" s="624">
        <v>2</v>
      </c>
      <c r="K41" s="625"/>
      <c r="L41" s="624">
        <v>2</v>
      </c>
      <c r="M41" s="625"/>
      <c r="N41" s="624">
        <v>3</v>
      </c>
      <c r="O41" s="625"/>
      <c r="P41" s="624">
        <v>2</v>
      </c>
      <c r="Q41" s="625"/>
      <c r="R41" s="624">
        <v>2</v>
      </c>
      <c r="S41" s="625"/>
      <c r="T41" s="624">
        <v>2</v>
      </c>
      <c r="U41" s="625"/>
      <c r="V41" s="624">
        <v>2</v>
      </c>
      <c r="W41" s="625"/>
      <c r="X41" s="624">
        <v>2</v>
      </c>
      <c r="Y41" s="625"/>
      <c r="Z41" s="624">
        <v>2</v>
      </c>
      <c r="AA41" s="625"/>
      <c r="AB41" s="624">
        <f>2+(2/14)</f>
        <v>2.142857142857143</v>
      </c>
      <c r="AC41" s="625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</row>
    <row r="42" spans="1:52" s="411" customFormat="1" ht="13.5" customHeight="1">
      <c r="A42" s="480" t="s">
        <v>449</v>
      </c>
      <c r="B42" s="481"/>
      <c r="C42" s="482" t="s">
        <v>390</v>
      </c>
      <c r="D42" s="624">
        <f>+D41</f>
        <v>1</v>
      </c>
      <c r="E42" s="625"/>
      <c r="F42" s="624">
        <f>D42+F41</f>
        <v>3</v>
      </c>
      <c r="G42" s="625"/>
      <c r="H42" s="624">
        <f>F42+H41</f>
        <v>5</v>
      </c>
      <c r="I42" s="625"/>
      <c r="J42" s="624">
        <f>H42+J41</f>
        <v>7</v>
      </c>
      <c r="K42" s="625"/>
      <c r="L42" s="624">
        <f>J42+L41</f>
        <v>9</v>
      </c>
      <c r="M42" s="625"/>
      <c r="N42" s="624">
        <f>L42+N41</f>
        <v>12</v>
      </c>
      <c r="O42" s="625"/>
      <c r="P42" s="624">
        <f>N42+P41</f>
        <v>14</v>
      </c>
      <c r="Q42" s="625"/>
      <c r="R42" s="624">
        <f>P42+R41</f>
        <v>16</v>
      </c>
      <c r="S42" s="625"/>
      <c r="T42" s="624">
        <f>R42+T41</f>
        <v>18</v>
      </c>
      <c r="U42" s="625"/>
      <c r="V42" s="624">
        <f>T42+V41</f>
        <v>20</v>
      </c>
      <c r="W42" s="625"/>
      <c r="X42" s="624">
        <f>V42+X41</f>
        <v>22</v>
      </c>
      <c r="Y42" s="625"/>
      <c r="Z42" s="624">
        <f>X42+Z41</f>
        <v>24</v>
      </c>
      <c r="AA42" s="625"/>
      <c r="AB42" s="624">
        <f>Z42+AB41</f>
        <v>26.142857142857142</v>
      </c>
      <c r="AC42" s="625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</row>
    <row r="43" spans="1:52" s="411" customFormat="1" ht="13.5" customHeight="1">
      <c r="A43" s="483">
        <v>26.14</v>
      </c>
      <c r="B43" s="484"/>
      <c r="C43" s="482" t="s">
        <v>391</v>
      </c>
      <c r="D43" s="628">
        <f>A43-D42</f>
        <v>25.14</v>
      </c>
      <c r="E43" s="625"/>
      <c r="F43" s="624">
        <f>D43-F41</f>
        <v>23.14</v>
      </c>
      <c r="G43" s="625"/>
      <c r="H43" s="624">
        <f>F43-H41</f>
        <v>21.14</v>
      </c>
      <c r="I43" s="625"/>
      <c r="J43" s="624">
        <f>H43-J41</f>
        <v>19.14</v>
      </c>
      <c r="K43" s="625"/>
      <c r="L43" s="624">
        <f>J43-L41</f>
        <v>17.14</v>
      </c>
      <c r="M43" s="625"/>
      <c r="N43" s="624">
        <f>L43-N41</f>
        <v>14.14</v>
      </c>
      <c r="O43" s="625"/>
      <c r="P43" s="624">
        <f>N43-P41</f>
        <v>12.14</v>
      </c>
      <c r="Q43" s="625"/>
      <c r="R43" s="624">
        <f>P43-R41</f>
        <v>10.14</v>
      </c>
      <c r="S43" s="625"/>
      <c r="T43" s="624">
        <f>R43-T41</f>
        <v>8.14</v>
      </c>
      <c r="U43" s="625"/>
      <c r="V43" s="624">
        <f>T43-V41</f>
        <v>6.140000000000001</v>
      </c>
      <c r="W43" s="625"/>
      <c r="X43" s="624">
        <f>V43-X41</f>
        <v>4.140000000000001</v>
      </c>
      <c r="Y43" s="625"/>
      <c r="Z43" s="624">
        <f>X43-Z41</f>
        <v>2.1400000000000006</v>
      </c>
      <c r="AA43" s="625"/>
      <c r="AB43" s="624">
        <f>Z43-AB41</f>
        <v>-0.0028571428571422253</v>
      </c>
      <c r="AC43" s="625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</row>
    <row r="44" spans="1:52" s="411" customFormat="1" ht="13.5" customHeight="1" thickBot="1">
      <c r="A44" s="485"/>
      <c r="B44" s="486"/>
      <c r="C44" s="486"/>
      <c r="D44" s="499"/>
      <c r="E44" s="487"/>
      <c r="F44" s="485"/>
      <c r="G44" s="487"/>
      <c r="H44" s="485"/>
      <c r="I44" s="487"/>
      <c r="J44" s="485"/>
      <c r="K44" s="487"/>
      <c r="L44" s="485"/>
      <c r="M44" s="487"/>
      <c r="N44" s="485"/>
      <c r="O44" s="487"/>
      <c r="P44" s="485"/>
      <c r="Q44" s="487"/>
      <c r="R44" s="485"/>
      <c r="S44" s="487"/>
      <c r="T44" s="485"/>
      <c r="U44" s="487"/>
      <c r="V44" s="485"/>
      <c r="W44" s="487"/>
      <c r="X44" s="485"/>
      <c r="Y44" s="487"/>
      <c r="Z44" s="485"/>
      <c r="AA44" s="487"/>
      <c r="AB44" s="485"/>
      <c r="AC44" s="487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</row>
    <row r="45" spans="1:52" s="506" customFormat="1" ht="21.75" customHeight="1" thickBot="1">
      <c r="A45" s="500" t="s">
        <v>507</v>
      </c>
      <c r="B45" s="501"/>
      <c r="C45" s="502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4" t="s">
        <v>1</v>
      </c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</row>
    <row r="47" spans="1:6" ht="57" customHeight="1">
      <c r="A47" s="507"/>
      <c r="B47" s="508"/>
      <c r="C47" s="508"/>
      <c r="D47" s="509"/>
      <c r="E47" s="509"/>
      <c r="F47" s="509"/>
    </row>
    <row r="48" ht="57" customHeight="1">
      <c r="A48" s="510"/>
    </row>
  </sheetData>
  <sheetProtection/>
  <mergeCells count="170">
    <mergeCell ref="Z43:AA43"/>
    <mergeCell ref="AB43:AC43"/>
    <mergeCell ref="N43:O43"/>
    <mergeCell ref="P43:Q43"/>
    <mergeCell ref="R43:S43"/>
    <mergeCell ref="T43:U43"/>
    <mergeCell ref="V43:W43"/>
    <mergeCell ref="X43:Y43"/>
    <mergeCell ref="T42:U42"/>
    <mergeCell ref="V42:W42"/>
    <mergeCell ref="X42:Y42"/>
    <mergeCell ref="Z42:AA42"/>
    <mergeCell ref="AB42:AC42"/>
    <mergeCell ref="D43:E43"/>
    <mergeCell ref="F43:G43"/>
    <mergeCell ref="H43:I43"/>
    <mergeCell ref="J43:K43"/>
    <mergeCell ref="L43:M43"/>
    <mergeCell ref="Z41:AA41"/>
    <mergeCell ref="AB41:AC41"/>
    <mergeCell ref="D42:E42"/>
    <mergeCell ref="F42:G42"/>
    <mergeCell ref="H42:I42"/>
    <mergeCell ref="J42:K42"/>
    <mergeCell ref="L42:M42"/>
    <mergeCell ref="N42:O42"/>
    <mergeCell ref="P42:Q42"/>
    <mergeCell ref="R42:S42"/>
    <mergeCell ref="N41:O41"/>
    <mergeCell ref="P41:Q41"/>
    <mergeCell ref="R41:S41"/>
    <mergeCell ref="T41:U41"/>
    <mergeCell ref="V41:W41"/>
    <mergeCell ref="X41:Y41"/>
    <mergeCell ref="T34:U34"/>
    <mergeCell ref="V34:W34"/>
    <mergeCell ref="X34:Y34"/>
    <mergeCell ref="Z34:AA34"/>
    <mergeCell ref="AB34:AC34"/>
    <mergeCell ref="D41:E41"/>
    <mergeCell ref="F41:G41"/>
    <mergeCell ref="H41:I41"/>
    <mergeCell ref="J41:K41"/>
    <mergeCell ref="L41:M41"/>
    <mergeCell ref="Z33:AA33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N33:O33"/>
    <mergeCell ref="P33:Q33"/>
    <mergeCell ref="R33:S33"/>
    <mergeCell ref="T33:U33"/>
    <mergeCell ref="V33:W33"/>
    <mergeCell ref="X33:Y33"/>
    <mergeCell ref="T32:U32"/>
    <mergeCell ref="V32:W32"/>
    <mergeCell ref="X32:Y32"/>
    <mergeCell ref="Z32:AA32"/>
    <mergeCell ref="AB32:AC32"/>
    <mergeCell ref="D33:E33"/>
    <mergeCell ref="F33:G33"/>
    <mergeCell ref="H33:I33"/>
    <mergeCell ref="J33:K33"/>
    <mergeCell ref="L33:M33"/>
    <mergeCell ref="Z23:AA23"/>
    <mergeCell ref="AB23:AC23"/>
    <mergeCell ref="D32:E32"/>
    <mergeCell ref="F32:G32"/>
    <mergeCell ref="H32:I32"/>
    <mergeCell ref="J32:K32"/>
    <mergeCell ref="L32:M32"/>
    <mergeCell ref="N32:O32"/>
    <mergeCell ref="P32:Q32"/>
    <mergeCell ref="R32:S32"/>
    <mergeCell ref="N23:O23"/>
    <mergeCell ref="P23:Q23"/>
    <mergeCell ref="R23:S23"/>
    <mergeCell ref="T23:U23"/>
    <mergeCell ref="V23:W23"/>
    <mergeCell ref="X23:Y23"/>
    <mergeCell ref="T22:U22"/>
    <mergeCell ref="V22:W22"/>
    <mergeCell ref="X22:Y22"/>
    <mergeCell ref="Z22:AA22"/>
    <mergeCell ref="AB22:AC22"/>
    <mergeCell ref="D23:E23"/>
    <mergeCell ref="F23:G23"/>
    <mergeCell ref="H23:I23"/>
    <mergeCell ref="J23:K23"/>
    <mergeCell ref="L23:M23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2:S22"/>
    <mergeCell ref="N21:O21"/>
    <mergeCell ref="P21:Q21"/>
    <mergeCell ref="R21:S21"/>
    <mergeCell ref="T21:U21"/>
    <mergeCell ref="V21:W21"/>
    <mergeCell ref="X21:Y21"/>
    <mergeCell ref="T13:U13"/>
    <mergeCell ref="V13:W13"/>
    <mergeCell ref="X13:Y13"/>
    <mergeCell ref="Z13:AA13"/>
    <mergeCell ref="AB13:AC13"/>
    <mergeCell ref="D21:E21"/>
    <mergeCell ref="F21:G21"/>
    <mergeCell ref="H21:I21"/>
    <mergeCell ref="J21:K21"/>
    <mergeCell ref="L21:M21"/>
    <mergeCell ref="Z12:AA12"/>
    <mergeCell ref="AB12:AC12"/>
    <mergeCell ref="D13:E13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X12:Y12"/>
    <mergeCell ref="T11:U11"/>
    <mergeCell ref="V11:W11"/>
    <mergeCell ref="X11:Y11"/>
    <mergeCell ref="Z11:AA11"/>
    <mergeCell ref="AB11:AC11"/>
    <mergeCell ref="D12:E12"/>
    <mergeCell ref="F12:G12"/>
    <mergeCell ref="H12:I12"/>
    <mergeCell ref="J12:K12"/>
    <mergeCell ref="L12:M12"/>
    <mergeCell ref="D9:E9"/>
    <mergeCell ref="D11:E11"/>
    <mergeCell ref="F11:G11"/>
    <mergeCell ref="H11:I11"/>
    <mergeCell ref="J11:K11"/>
    <mergeCell ref="L11:M11"/>
    <mergeCell ref="N11:O11"/>
    <mergeCell ref="P11:Q11"/>
    <mergeCell ref="R11:S11"/>
    <mergeCell ref="AB3:AC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>
    <oddFooter>&amp;C&amp;26- 15 -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3" topLeftCell="A45" activePane="bottomLeft" state="frozen"/>
      <selection pane="topLeft" activeCell="A1" sqref="A1"/>
      <selection pane="bottomLeft" activeCell="E35" sqref="E35"/>
    </sheetView>
  </sheetViews>
  <sheetFormatPr defaultColWidth="20.28125" defaultRowHeight="12.75"/>
  <cols>
    <col min="1" max="1" width="5.140625" style="32" customWidth="1"/>
    <col min="2" max="2" width="48.00390625" style="31" customWidth="1"/>
    <col min="3" max="3" width="15.421875" style="73" customWidth="1"/>
    <col min="4" max="4" width="1.8515625" style="20" customWidth="1"/>
    <col min="5" max="5" width="15.140625" style="33" customWidth="1"/>
    <col min="6" max="6" width="15.28125" style="34" customWidth="1"/>
    <col min="7" max="16384" width="20.28125" style="9" customWidth="1"/>
  </cols>
  <sheetData>
    <row r="1" spans="1:6" s="1" customFormat="1" ht="20.25">
      <c r="A1" s="590" t="s">
        <v>84</v>
      </c>
      <c r="B1" s="590"/>
      <c r="C1" s="590"/>
      <c r="D1" s="590"/>
      <c r="E1" s="590"/>
      <c r="F1" s="590"/>
    </row>
    <row r="2" spans="1:6" s="2" customFormat="1" ht="18.75">
      <c r="A2" s="591" t="s">
        <v>0</v>
      </c>
      <c r="B2" s="591"/>
      <c r="C2" s="591"/>
      <c r="D2" s="591"/>
      <c r="E2" s="591"/>
      <c r="F2" s="591"/>
    </row>
    <row r="3" spans="1:6" s="3" customFormat="1" ht="15">
      <c r="A3" s="592" t="s">
        <v>618</v>
      </c>
      <c r="B3" s="592"/>
      <c r="C3" s="592"/>
      <c r="D3" s="592"/>
      <c r="E3" s="592"/>
      <c r="F3" s="592"/>
    </row>
    <row r="4" spans="1:6" s="3" customFormat="1" ht="15">
      <c r="A4" s="198"/>
      <c r="B4" s="198"/>
      <c r="C4" s="198"/>
      <c r="D4" s="198"/>
      <c r="E4" s="198"/>
      <c r="F4" s="198"/>
    </row>
    <row r="5" spans="1:6" s="5" customFormat="1" ht="14.25">
      <c r="A5" s="4"/>
      <c r="B5" s="4"/>
      <c r="C5" s="4"/>
      <c r="D5" s="4"/>
      <c r="E5" s="4"/>
      <c r="F5" s="83"/>
    </row>
    <row r="6" spans="1:6" s="5" customFormat="1" ht="14.25">
      <c r="A6" s="4"/>
      <c r="B6" s="4"/>
      <c r="C6" s="4"/>
      <c r="D6" s="4"/>
      <c r="E6" s="4"/>
      <c r="F6" s="83"/>
    </row>
    <row r="7" spans="1:6" ht="12.75">
      <c r="A7" s="6"/>
      <c r="B7" s="7"/>
      <c r="C7" s="84"/>
      <c r="D7" s="84"/>
      <c r="E7" s="85"/>
      <c r="F7" s="85"/>
    </row>
    <row r="8" spans="1:6" s="13" customFormat="1" ht="6" customHeight="1">
      <c r="A8" s="10" t="s">
        <v>1</v>
      </c>
      <c r="B8" s="11"/>
      <c r="C8" s="12"/>
      <c r="D8" s="12"/>
      <c r="E8" s="80"/>
      <c r="F8" s="80"/>
    </row>
    <row r="9" spans="1:6" s="16" customFormat="1" ht="12">
      <c r="A9" s="10"/>
      <c r="B9" s="74"/>
      <c r="C9" s="75" t="s">
        <v>625</v>
      </c>
      <c r="D9" s="75"/>
      <c r="E9" s="81" t="s">
        <v>243</v>
      </c>
      <c r="F9" s="81" t="s">
        <v>344</v>
      </c>
    </row>
    <row r="10" spans="1:6" s="16" customFormat="1" ht="12">
      <c r="A10" s="191" t="s">
        <v>4</v>
      </c>
      <c r="B10" s="76"/>
      <c r="C10" s="75" t="s">
        <v>626</v>
      </c>
      <c r="D10" s="75"/>
      <c r="E10" s="76" t="s">
        <v>244</v>
      </c>
      <c r="F10" s="76" t="s">
        <v>5</v>
      </c>
    </row>
    <row r="11" spans="3:6" s="16" customFormat="1" ht="12">
      <c r="C11" s="186">
        <v>42186</v>
      </c>
      <c r="D11" s="77"/>
      <c r="E11" s="405" t="s">
        <v>619</v>
      </c>
      <c r="F11" s="406">
        <v>42265</v>
      </c>
    </row>
    <row r="12" spans="1:6" s="16" customFormat="1" ht="6" customHeight="1">
      <c r="A12" s="17"/>
      <c r="B12" s="17"/>
      <c r="C12" s="78"/>
      <c r="D12" s="79"/>
      <c r="E12" s="82"/>
      <c r="F12" s="82"/>
    </row>
    <row r="13" spans="1:6" ht="12.75">
      <c r="A13" s="18"/>
      <c r="B13" s="19"/>
      <c r="C13" s="14"/>
      <c r="D13" s="14"/>
      <c r="F13" s="83"/>
    </row>
    <row r="14" spans="1:6" ht="12.75">
      <c r="A14" s="541">
        <v>401</v>
      </c>
      <c r="B14" s="15" t="s">
        <v>312</v>
      </c>
      <c r="C14" s="514">
        <v>5844620680</v>
      </c>
      <c r="D14" s="515"/>
      <c r="E14" s="515">
        <f aca="true" t="shared" si="0" ref="E14:E39">+F14-C14</f>
        <v>3398577</v>
      </c>
      <c r="F14" s="516">
        <v>5848019257</v>
      </c>
    </row>
    <row r="15" spans="1:6" ht="12.75">
      <c r="A15" s="541">
        <v>402</v>
      </c>
      <c r="B15" s="15" t="s">
        <v>313</v>
      </c>
      <c r="C15" s="34">
        <v>761531373</v>
      </c>
      <c r="E15" s="33">
        <f t="shared" si="0"/>
        <v>330000</v>
      </c>
      <c r="F15" s="83">
        <v>761861373</v>
      </c>
    </row>
    <row r="16" spans="1:6" ht="12.75">
      <c r="A16" s="541">
        <v>403</v>
      </c>
      <c r="B16" s="21" t="s">
        <v>314</v>
      </c>
      <c r="C16" s="34">
        <v>1404535490</v>
      </c>
      <c r="E16" s="33">
        <f t="shared" si="0"/>
        <v>-583416</v>
      </c>
      <c r="F16" s="83">
        <v>1403952074</v>
      </c>
    </row>
    <row r="17" spans="1:6" ht="12.75">
      <c r="A17" s="541">
        <v>404</v>
      </c>
      <c r="B17" s="21" t="s">
        <v>315</v>
      </c>
      <c r="C17" s="34">
        <v>3976075</v>
      </c>
      <c r="E17" s="33">
        <f t="shared" si="0"/>
        <v>173803</v>
      </c>
      <c r="F17" s="83">
        <v>4149878</v>
      </c>
    </row>
    <row r="18" spans="1:6" ht="12.75">
      <c r="A18" s="542">
        <v>406</v>
      </c>
      <c r="B18" s="228" t="s">
        <v>477</v>
      </c>
      <c r="C18" s="34">
        <v>1476587588</v>
      </c>
      <c r="E18" s="33">
        <f t="shared" si="0"/>
        <v>0</v>
      </c>
      <c r="F18" s="83">
        <v>1476587588</v>
      </c>
    </row>
    <row r="19" spans="1:6" ht="12.75">
      <c r="A19" s="542">
        <v>407</v>
      </c>
      <c r="B19" s="228" t="s">
        <v>521</v>
      </c>
      <c r="C19" s="34">
        <v>385508464</v>
      </c>
      <c r="E19" s="33">
        <f t="shared" si="0"/>
        <v>0</v>
      </c>
      <c r="F19" s="83">
        <v>385508464</v>
      </c>
    </row>
    <row r="20" spans="1:6" ht="12.75">
      <c r="A20" s="542">
        <v>408</v>
      </c>
      <c r="B20" s="228" t="s">
        <v>522</v>
      </c>
      <c r="C20" s="34">
        <v>423370588</v>
      </c>
      <c r="E20" s="33">
        <f t="shared" si="0"/>
        <v>0</v>
      </c>
      <c r="F20" s="83">
        <v>423370588</v>
      </c>
    </row>
    <row r="21" spans="1:6" ht="12.75">
      <c r="A21" s="541">
        <v>415</v>
      </c>
      <c r="B21" s="21" t="s">
        <v>316</v>
      </c>
      <c r="C21" s="34">
        <v>258500838</v>
      </c>
      <c r="E21" s="33">
        <f t="shared" si="0"/>
        <v>0</v>
      </c>
      <c r="F21" s="83">
        <v>258500838</v>
      </c>
    </row>
    <row r="22" spans="1:6" ht="12.75">
      <c r="A22" s="541">
        <v>416</v>
      </c>
      <c r="B22" s="21" t="s">
        <v>317</v>
      </c>
      <c r="C22" s="34">
        <v>27679995</v>
      </c>
      <c r="E22" s="33">
        <f t="shared" si="0"/>
        <v>0</v>
      </c>
      <c r="F22" s="83">
        <v>27679995</v>
      </c>
    </row>
    <row r="23" spans="1:6" ht="12.75">
      <c r="A23" s="541">
        <v>421</v>
      </c>
      <c r="B23" s="21" t="s">
        <v>256</v>
      </c>
      <c r="C23" s="34">
        <v>956173266</v>
      </c>
      <c r="E23" s="33">
        <f t="shared" si="0"/>
        <v>384613</v>
      </c>
      <c r="F23" s="83">
        <v>956557879</v>
      </c>
    </row>
    <row r="24" spans="1:6" ht="12.75">
      <c r="A24" s="541">
        <v>422</v>
      </c>
      <c r="B24" s="21" t="s">
        <v>261</v>
      </c>
      <c r="C24" s="34">
        <v>20979246</v>
      </c>
      <c r="E24" s="33">
        <f t="shared" si="0"/>
        <v>25000</v>
      </c>
      <c r="F24" s="83">
        <v>21004246</v>
      </c>
    </row>
    <row r="25" spans="1:6" ht="12.75">
      <c r="A25" s="541">
        <v>423</v>
      </c>
      <c r="B25" s="21" t="s">
        <v>262</v>
      </c>
      <c r="C25" s="34">
        <v>276851652</v>
      </c>
      <c r="E25" s="33">
        <f t="shared" si="0"/>
        <v>0</v>
      </c>
      <c r="F25" s="34">
        <v>276851652</v>
      </c>
    </row>
    <row r="26" spans="1:6" ht="12.75">
      <c r="A26" s="541">
        <v>424</v>
      </c>
      <c r="B26" s="21" t="s">
        <v>263</v>
      </c>
      <c r="C26" s="34">
        <v>230036818</v>
      </c>
      <c r="E26" s="33">
        <f t="shared" si="0"/>
        <v>0</v>
      </c>
      <c r="F26" s="83">
        <v>230036818</v>
      </c>
    </row>
    <row r="27" spans="1:6" ht="12.75">
      <c r="A27" s="542">
        <v>435</v>
      </c>
      <c r="B27" s="228" t="s">
        <v>264</v>
      </c>
      <c r="C27" s="229">
        <v>445017030</v>
      </c>
      <c r="D27" s="230"/>
      <c r="E27" s="231">
        <f t="shared" si="0"/>
        <v>-2683783</v>
      </c>
      <c r="F27" s="232">
        <v>442333247</v>
      </c>
    </row>
    <row r="28" spans="1:6" ht="12.75">
      <c r="A28" s="541">
        <v>436</v>
      </c>
      <c r="B28" s="21" t="s">
        <v>265</v>
      </c>
      <c r="C28" s="34">
        <v>305148960</v>
      </c>
      <c r="E28" s="231">
        <f t="shared" si="0"/>
        <v>516701</v>
      </c>
      <c r="F28" s="83">
        <v>305665661</v>
      </c>
    </row>
    <row r="29" spans="1:6" ht="12.75">
      <c r="A29" s="541">
        <v>438</v>
      </c>
      <c r="B29" s="21" t="s">
        <v>266</v>
      </c>
      <c r="C29" s="34">
        <v>1146455675</v>
      </c>
      <c r="E29" s="231">
        <f t="shared" si="0"/>
        <v>620042</v>
      </c>
      <c r="F29" s="83">
        <v>1147075717</v>
      </c>
    </row>
    <row r="30" spans="1:6" ht="12.75">
      <c r="A30" s="541">
        <v>439</v>
      </c>
      <c r="B30" s="21" t="s">
        <v>267</v>
      </c>
      <c r="C30" s="34">
        <v>211668288</v>
      </c>
      <c r="E30" s="231">
        <f t="shared" si="0"/>
        <v>0</v>
      </c>
      <c r="F30" s="83">
        <v>211668288</v>
      </c>
    </row>
    <row r="31" spans="1:6" ht="12.75">
      <c r="A31" s="541">
        <v>440</v>
      </c>
      <c r="B31" s="21" t="s">
        <v>268</v>
      </c>
      <c r="C31" s="34">
        <v>274321108</v>
      </c>
      <c r="E31" s="231">
        <f t="shared" si="0"/>
        <v>0</v>
      </c>
      <c r="F31" s="83">
        <v>274321108</v>
      </c>
    </row>
    <row r="32" spans="1:6" ht="12.75">
      <c r="A32" s="541">
        <v>442</v>
      </c>
      <c r="B32" s="21" t="s">
        <v>269</v>
      </c>
      <c r="C32" s="34">
        <v>335713885</v>
      </c>
      <c r="E32" s="231">
        <f t="shared" si="0"/>
        <v>0</v>
      </c>
      <c r="F32" s="83">
        <v>335713885</v>
      </c>
    </row>
    <row r="33" spans="1:6" ht="12.75">
      <c r="A33" s="541">
        <v>444</v>
      </c>
      <c r="B33" s="21" t="s">
        <v>270</v>
      </c>
      <c r="C33" s="34">
        <v>498066494</v>
      </c>
      <c r="E33" s="231">
        <f t="shared" si="0"/>
        <v>0</v>
      </c>
      <c r="F33" s="83">
        <v>498066494</v>
      </c>
    </row>
    <row r="34" spans="1:6" ht="12.75">
      <c r="A34" s="541">
        <v>453</v>
      </c>
      <c r="B34" s="21" t="s">
        <v>272</v>
      </c>
      <c r="C34" s="34">
        <v>174550820</v>
      </c>
      <c r="E34" s="231">
        <f t="shared" si="0"/>
        <v>475871</v>
      </c>
      <c r="F34" s="83">
        <v>175026691</v>
      </c>
    </row>
    <row r="35" spans="1:6" ht="12.75">
      <c r="A35" s="541">
        <v>454</v>
      </c>
      <c r="B35" s="21" t="s">
        <v>271</v>
      </c>
      <c r="C35" s="34">
        <v>164375156</v>
      </c>
      <c r="E35" s="231">
        <f t="shared" si="0"/>
        <v>-305824</v>
      </c>
      <c r="F35" s="83">
        <v>164069332</v>
      </c>
    </row>
    <row r="36" spans="1:6" ht="12.75">
      <c r="A36" s="541">
        <v>461</v>
      </c>
      <c r="B36" s="21" t="s">
        <v>273</v>
      </c>
      <c r="C36" s="34">
        <v>3043659644</v>
      </c>
      <c r="E36" s="231">
        <f t="shared" si="0"/>
        <v>6893</v>
      </c>
      <c r="F36" s="83">
        <v>3043666537</v>
      </c>
    </row>
    <row r="37" spans="1:6" ht="12.75">
      <c r="A37" s="541">
        <v>470</v>
      </c>
      <c r="B37" s="21" t="s">
        <v>275</v>
      </c>
      <c r="C37" s="34">
        <v>909861953</v>
      </c>
      <c r="E37" s="231">
        <f t="shared" si="0"/>
        <v>0</v>
      </c>
      <c r="F37" s="83">
        <v>909861953</v>
      </c>
    </row>
    <row r="38" spans="1:6" ht="12.75">
      <c r="A38" s="542">
        <v>472</v>
      </c>
      <c r="B38" s="228" t="s">
        <v>478</v>
      </c>
      <c r="C38" s="34">
        <v>652495759</v>
      </c>
      <c r="E38" s="231">
        <f t="shared" si="0"/>
        <v>0</v>
      </c>
      <c r="F38" s="83">
        <v>652495759</v>
      </c>
    </row>
    <row r="39" spans="1:6" ht="12.75">
      <c r="A39" s="541">
        <v>474</v>
      </c>
      <c r="B39" s="21" t="s">
        <v>274</v>
      </c>
      <c r="C39" s="34">
        <v>66690570</v>
      </c>
      <c r="E39" s="231">
        <f t="shared" si="0"/>
        <v>0</v>
      </c>
      <c r="F39" s="83">
        <v>66690570</v>
      </c>
    </row>
    <row r="40" spans="1:6" ht="6.75" customHeight="1">
      <c r="A40" s="541"/>
      <c r="B40" s="21"/>
      <c r="C40" s="20"/>
      <c r="F40" s="83"/>
    </row>
    <row r="41" spans="1:6" ht="12.75" hidden="1">
      <c r="A41" s="541"/>
      <c r="B41" s="21"/>
      <c r="C41" s="20"/>
      <c r="F41" s="83"/>
    </row>
    <row r="42" spans="1:6" ht="12.75">
      <c r="A42" s="22" t="s">
        <v>7</v>
      </c>
      <c r="B42" s="23"/>
      <c r="C42" s="517">
        <f>SUM(C14:C41)</f>
        <v>20298377415</v>
      </c>
      <c r="D42" s="517"/>
      <c r="E42" s="517">
        <f>SUM(E14:E41)</f>
        <v>2358477</v>
      </c>
      <c r="F42" s="517">
        <f>SUM(F14:F41)</f>
        <v>20300735892</v>
      </c>
    </row>
    <row r="43" spans="1:6" ht="6.75" customHeight="1">
      <c r="A43" s="543"/>
      <c r="B43" s="69"/>
      <c r="C43" s="70"/>
      <c r="D43" s="70"/>
      <c r="F43" s="83"/>
    </row>
    <row r="44" spans="1:6" ht="12.75">
      <c r="A44" s="541">
        <v>481</v>
      </c>
      <c r="B44" s="21" t="s">
        <v>8</v>
      </c>
      <c r="C44" s="33">
        <v>1011695696</v>
      </c>
      <c r="E44" s="231">
        <f>+F44-C44</f>
        <v>0</v>
      </c>
      <c r="F44" s="83">
        <v>1011695696</v>
      </c>
    </row>
    <row r="45" spans="1:6" ht="12.75">
      <c r="A45" s="541">
        <v>482</v>
      </c>
      <c r="B45" s="21" t="s">
        <v>9</v>
      </c>
      <c r="C45" s="34">
        <v>599635645</v>
      </c>
      <c r="E45" s="231">
        <f>+F45-C45</f>
        <v>6749751</v>
      </c>
      <c r="F45" s="83">
        <v>606385396</v>
      </c>
    </row>
    <row r="46" spans="1:6" ht="6.75" customHeight="1">
      <c r="A46" s="76"/>
      <c r="B46" s="21"/>
      <c r="C46" s="20"/>
      <c r="F46" s="83"/>
    </row>
    <row r="47" spans="1:6" ht="12.75">
      <c r="A47" s="22" t="s">
        <v>10</v>
      </c>
      <c r="B47" s="24"/>
      <c r="C47" s="517">
        <f>SUM(C44:C46)</f>
        <v>1611331341</v>
      </c>
      <c r="D47" s="517"/>
      <c r="E47" s="517">
        <f>SUM(E44:E46)</f>
        <v>6749751</v>
      </c>
      <c r="F47" s="517">
        <f>SUM(F44:F46)</f>
        <v>1618081092</v>
      </c>
    </row>
    <row r="48" spans="1:6" ht="11.25" customHeight="1" thickBot="1">
      <c r="A48" s="18"/>
      <c r="B48" s="21"/>
      <c r="C48" s="20"/>
      <c r="F48" s="83"/>
    </row>
    <row r="49" spans="1:6" s="27" customFormat="1" ht="15" thickBot="1" thickTop="1">
      <c r="A49" s="25" t="s">
        <v>11</v>
      </c>
      <c r="B49" s="26"/>
      <c r="C49" s="92">
        <f>C47+C42</f>
        <v>21909708756</v>
      </c>
      <c r="D49" s="92"/>
      <c r="E49" s="92">
        <f>E47+E42</f>
        <v>9108228</v>
      </c>
      <c r="F49" s="92">
        <f>F47+F42</f>
        <v>21918816984</v>
      </c>
    </row>
    <row r="50" spans="1:6" ht="8.25" customHeight="1" thickTop="1">
      <c r="A50" s="28"/>
      <c r="B50" s="29"/>
      <c r="C50" s="87"/>
      <c r="D50" s="88"/>
      <c r="E50" s="89"/>
      <c r="F50" s="83"/>
    </row>
    <row r="51" spans="1:6" ht="12.75">
      <c r="A51" s="21" t="s">
        <v>12</v>
      </c>
      <c r="B51" s="30" t="s">
        <v>13</v>
      </c>
      <c r="D51" s="73"/>
      <c r="E51" s="90"/>
      <c r="F51" s="229"/>
    </row>
    <row r="52" spans="1:6" ht="12.75">
      <c r="A52" s="21"/>
      <c r="B52" s="21" t="s">
        <v>332</v>
      </c>
      <c r="D52" s="73"/>
      <c r="E52" s="34"/>
      <c r="F52" s="518">
        <v>3413970387</v>
      </c>
    </row>
    <row r="53" spans="1:6" ht="12.75">
      <c r="A53" s="21"/>
      <c r="B53" s="21" t="s">
        <v>333</v>
      </c>
      <c r="D53" s="73"/>
      <c r="E53" s="34"/>
      <c r="F53" s="229">
        <f>1170284192+2500000</f>
        <v>1172784192</v>
      </c>
    </row>
    <row r="54" ht="8.25" customHeight="1" thickBot="1"/>
    <row r="55" spans="1:6" ht="15" thickBot="1" thickTop="1">
      <c r="A55" s="25" t="s">
        <v>179</v>
      </c>
      <c r="B55" s="26"/>
      <c r="C55" s="91"/>
      <c r="D55" s="91"/>
      <c r="E55" s="86"/>
      <c r="F55" s="92">
        <f>SUM(F49:F53)</f>
        <v>26505571563</v>
      </c>
    </row>
    <row r="56" ht="13.5" thickTop="1"/>
  </sheetData>
  <sheetProtection/>
  <mergeCells count="3">
    <mergeCell ref="A1:F1"/>
    <mergeCell ref="A2:F2"/>
    <mergeCell ref="A3:F3"/>
  </mergeCells>
  <printOptions horizontalCentered="1"/>
  <pageMargins left="0.3" right="0.25" top="0.75" bottom="0.75" header="0.5" footer="0.25"/>
  <pageSetup horizontalDpi="600" verticalDpi="600" orientation="portrait" scale="95" r:id="rId1"/>
  <headerFooter alignWithMargins="0">
    <oddFooter>&amp;C&amp;12- 1 -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9" sqref="B19"/>
    </sheetView>
  </sheetViews>
  <sheetFormatPr defaultColWidth="20.28125" defaultRowHeight="12.75"/>
  <cols>
    <col min="1" max="1" width="58.421875" style="32" customWidth="1"/>
    <col min="2" max="2" width="15.28125" style="323" customWidth="1"/>
    <col min="3" max="3" width="1.7109375" style="323" customWidth="1"/>
    <col min="4" max="4" width="20.57421875" style="323" customWidth="1"/>
    <col min="5" max="5" width="1.57421875" style="323" customWidth="1"/>
    <col min="6" max="6" width="16.00390625" style="323" customWidth="1"/>
    <col min="7" max="16384" width="20.28125" style="323" customWidth="1"/>
  </cols>
  <sheetData>
    <row r="1" spans="1:6" s="318" customFormat="1" ht="21.75">
      <c r="A1" s="593" t="s">
        <v>84</v>
      </c>
      <c r="B1" s="593"/>
      <c r="C1" s="593"/>
      <c r="D1" s="593"/>
      <c r="E1" s="593"/>
      <c r="F1" s="593"/>
    </row>
    <row r="2" spans="1:6" s="319" customFormat="1" ht="18.75">
      <c r="A2" s="591" t="s">
        <v>337</v>
      </c>
      <c r="B2" s="591"/>
      <c r="C2" s="591"/>
      <c r="D2" s="591"/>
      <c r="E2" s="591"/>
      <c r="F2" s="591"/>
    </row>
    <row r="3" spans="1:6" s="320" customFormat="1" ht="15">
      <c r="A3" s="594" t="s">
        <v>618</v>
      </c>
      <c r="B3" s="594"/>
      <c r="C3" s="594"/>
      <c r="D3" s="594"/>
      <c r="E3" s="594"/>
      <c r="F3" s="594"/>
    </row>
    <row r="4" spans="1:6" s="321" customFormat="1" ht="14.25">
      <c r="A4" s="4"/>
      <c r="B4" s="4"/>
      <c r="C4" s="4"/>
      <c r="D4" s="4"/>
      <c r="E4" s="4"/>
      <c r="F4" s="4"/>
    </row>
    <row r="5" spans="1:6" s="321" customFormat="1" ht="14.25">
      <c r="A5" s="4"/>
      <c r="B5" s="4"/>
      <c r="C5" s="4"/>
      <c r="D5" s="4"/>
      <c r="E5" s="4"/>
      <c r="F5" s="4"/>
    </row>
    <row r="6" spans="1:6" s="321" customFormat="1" ht="14.25">
      <c r="A6" s="4"/>
      <c r="B6" s="4"/>
      <c r="C6" s="4"/>
      <c r="D6" s="4"/>
      <c r="E6" s="4"/>
      <c r="F6" s="4"/>
    </row>
    <row r="7" spans="1:6" ht="12.75">
      <c r="A7" s="6"/>
      <c r="B7" s="322"/>
      <c r="C7" s="322"/>
      <c r="D7" s="322"/>
      <c r="E7" s="322"/>
      <c r="F7" s="322"/>
    </row>
    <row r="9" spans="1:2" ht="15.75" customHeight="1">
      <c r="A9" s="324" t="s">
        <v>338</v>
      </c>
      <c r="B9" s="325">
        <f>+'City Approved'!E49</f>
        <v>9108228</v>
      </c>
    </row>
    <row r="10" spans="1:2" ht="10.5" customHeight="1" thickBot="1">
      <c r="A10" s="324"/>
      <c r="B10" s="325"/>
    </row>
    <row r="11" spans="1:2" s="328" customFormat="1" ht="15" thickTop="1">
      <c r="A11" s="326"/>
      <c r="B11" s="327"/>
    </row>
    <row r="12" ht="6" customHeight="1"/>
    <row r="13" spans="1:6" ht="6" customHeight="1">
      <c r="A13" s="329"/>
      <c r="B13" s="330"/>
      <c r="C13" s="330"/>
      <c r="D13" s="330"/>
      <c r="E13" s="330"/>
      <c r="F13" s="330"/>
    </row>
    <row r="14" spans="1:6" ht="12.75">
      <c r="A14" s="331"/>
      <c r="B14" s="328"/>
      <c r="C14" s="328"/>
      <c r="D14" s="332" t="s">
        <v>339</v>
      </c>
      <c r="E14" s="332"/>
      <c r="F14" s="332" t="s">
        <v>340</v>
      </c>
    </row>
    <row r="15" spans="1:6" ht="12.75">
      <c r="A15" s="333" t="s">
        <v>341</v>
      </c>
      <c r="B15" s="334" t="s">
        <v>342</v>
      </c>
      <c r="C15" s="328"/>
      <c r="D15" s="332" t="s">
        <v>343</v>
      </c>
      <c r="E15" s="332"/>
      <c r="F15" s="332" t="s">
        <v>3</v>
      </c>
    </row>
    <row r="16" spans="1:6" ht="6" customHeight="1">
      <c r="A16" s="6"/>
      <c r="B16" s="322"/>
      <c r="C16" s="322"/>
      <c r="D16" s="322"/>
      <c r="E16" s="322"/>
      <c r="F16" s="322"/>
    </row>
    <row r="17" spans="1:2" ht="12.75" customHeight="1">
      <c r="A17" s="8"/>
      <c r="B17" s="335"/>
    </row>
    <row r="18" spans="1:2" ht="12.75" customHeight="1">
      <c r="A18" s="363" t="s">
        <v>508</v>
      </c>
      <c r="B18" s="342"/>
    </row>
    <row r="19" spans="1:6" ht="12.75">
      <c r="A19" s="366" t="s">
        <v>609</v>
      </c>
      <c r="B19" s="400">
        <v>1416313</v>
      </c>
      <c r="D19" s="544" t="s">
        <v>612</v>
      </c>
      <c r="F19" s="544" t="s">
        <v>611</v>
      </c>
    </row>
    <row r="20" spans="1:6" ht="12.75">
      <c r="A20" s="511" t="s">
        <v>623</v>
      </c>
      <c r="B20" s="404">
        <v>972848</v>
      </c>
      <c r="D20" s="544" t="s">
        <v>613</v>
      </c>
      <c r="F20" s="545">
        <v>42244</v>
      </c>
    </row>
    <row r="21" spans="1:6" ht="12.75">
      <c r="A21" s="366" t="s">
        <v>606</v>
      </c>
      <c r="B21" s="404">
        <v>276903</v>
      </c>
      <c r="D21" s="544" t="s">
        <v>610</v>
      </c>
      <c r="F21" s="545">
        <v>42247</v>
      </c>
    </row>
    <row r="22" spans="1:6" ht="12.75">
      <c r="A22" s="366" t="s">
        <v>607</v>
      </c>
      <c r="B22" s="404">
        <v>5500000</v>
      </c>
      <c r="D22" s="544" t="s">
        <v>608</v>
      </c>
      <c r="E22"/>
      <c r="F22" s="545">
        <v>42249</v>
      </c>
    </row>
    <row r="23" spans="1:6" ht="12.75">
      <c r="A23" s="511" t="s">
        <v>617</v>
      </c>
      <c r="B23" s="404">
        <v>942164</v>
      </c>
      <c r="D23" s="544" t="s">
        <v>614</v>
      </c>
      <c r="E23"/>
      <c r="F23" s="545">
        <v>42249</v>
      </c>
    </row>
    <row r="24" spans="1:2" ht="12.75">
      <c r="A24" s="336" t="s">
        <v>331</v>
      </c>
      <c r="B24" s="367">
        <f>SUM(B19:B23)</f>
        <v>9108228</v>
      </c>
    </row>
    <row r="25" spans="1:6" ht="12.75">
      <c r="A25" s="323"/>
      <c r="D25" s="364"/>
      <c r="E25"/>
      <c r="F25" s="365"/>
    </row>
    <row r="26" spans="1:6" ht="12.75">
      <c r="A26" s="366"/>
      <c r="B26" s="404"/>
      <c r="D26" s="364"/>
      <c r="E26"/>
      <c r="F26" s="365"/>
    </row>
    <row r="27" spans="1:6" ht="12.75">
      <c r="A27" s="337"/>
      <c r="B27" s="337"/>
      <c r="C27" s="337"/>
      <c r="D27" s="337"/>
      <c r="E27" s="337"/>
      <c r="F27" s="337"/>
    </row>
    <row r="28" spans="1:6" ht="6" customHeight="1" thickBot="1">
      <c r="A28" s="8"/>
      <c r="B28" s="9"/>
      <c r="D28" s="338"/>
      <c r="E28" s="338"/>
      <c r="F28" s="339"/>
    </row>
    <row r="29" spans="1:6" ht="16.5" customHeight="1" thickBot="1" thickTop="1">
      <c r="A29" s="340" t="s">
        <v>627</v>
      </c>
      <c r="B29" s="341">
        <f>+B24</f>
        <v>9108228</v>
      </c>
      <c r="D29" s="338"/>
      <c r="E29" s="338"/>
      <c r="F29" s="339"/>
    </row>
    <row r="30" ht="6" customHeight="1" thickTop="1"/>
  </sheetData>
  <sheetProtection/>
  <mergeCells count="3">
    <mergeCell ref="A1:F1"/>
    <mergeCell ref="A2:F2"/>
    <mergeCell ref="A3:F3"/>
  </mergeCells>
  <printOptions horizontalCentered="1"/>
  <pageMargins left="0" right="0" top="1" bottom="0.5" header="0.5" footer="0.25"/>
  <pageSetup horizontalDpi="600" verticalDpi="600" orientation="portrait" scale="85" r:id="rId1"/>
  <headerFooter alignWithMargins="0">
    <oddFooter>&amp;C&amp;12- 2 -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8:N41"/>
  <sheetViews>
    <sheetView zoomScalePageLayoutView="0" workbookViewId="0" topLeftCell="A13">
      <selection activeCell="O28" sqref="O28"/>
    </sheetView>
  </sheetViews>
  <sheetFormatPr defaultColWidth="9.140625" defaultRowHeight="12.75"/>
  <cols>
    <col min="13" max="13" width="10.57421875" style="0" customWidth="1"/>
  </cols>
  <sheetData>
    <row r="38" spans="1:14" ht="12.75">
      <c r="A38" s="394" t="s">
        <v>335</v>
      </c>
      <c r="B38" s="395" t="s">
        <v>488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</row>
    <row r="39" spans="1:14" ht="12.75">
      <c r="A39" s="396"/>
      <c r="B39" s="395" t="s">
        <v>631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14" ht="12.75">
      <c r="A40" s="397"/>
      <c r="B40" s="398" t="s">
        <v>632</v>
      </c>
      <c r="C40" s="395"/>
      <c r="D40" s="395"/>
      <c r="E40" s="395"/>
      <c r="F40" s="395"/>
      <c r="G40" s="395"/>
      <c r="H40" s="395"/>
      <c r="I40" s="395"/>
      <c r="J40" s="395"/>
      <c r="K40" s="571"/>
      <c r="L40" s="395"/>
      <c r="M40" s="395"/>
      <c r="N40" s="395"/>
    </row>
    <row r="41" spans="1:14" ht="12.75">
      <c r="A41" s="399"/>
      <c r="B41" s="570"/>
      <c r="C41" s="571"/>
      <c r="D41" s="571"/>
      <c r="E41" s="571"/>
      <c r="F41" s="571"/>
      <c r="G41" s="571"/>
      <c r="H41" s="571"/>
      <c r="I41" s="571"/>
      <c r="J41" s="571"/>
      <c r="K41" s="571"/>
      <c r="L41" s="395"/>
      <c r="M41" s="395"/>
      <c r="N41" s="395"/>
    </row>
  </sheetData>
  <sheetProtection/>
  <printOptions horizontalCentered="1"/>
  <pageMargins left="0.8" right="0" top="0.75" bottom="0.5" header="0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E50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10.57421875" style="0" customWidth="1"/>
    <col min="2" max="2" width="49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">
        <v>615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">
        <v>520</v>
      </c>
      <c r="E7" s="62" t="s">
        <v>355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2" ht="12.75">
      <c r="A12" s="64" t="s">
        <v>19</v>
      </c>
      <c r="B12" s="45"/>
    </row>
    <row r="13" spans="1:5" ht="12.75">
      <c r="A13" s="65" t="s">
        <v>20</v>
      </c>
      <c r="B13" s="35"/>
      <c r="E13" s="309"/>
    </row>
    <row r="14" spans="1:5" ht="12.75">
      <c r="A14" s="546">
        <v>29358</v>
      </c>
      <c r="B14" s="115" t="s">
        <v>303</v>
      </c>
      <c r="C14" s="519">
        <f>6670257319/1000</f>
        <v>6670257.319</v>
      </c>
      <c r="D14" s="519">
        <v>0</v>
      </c>
      <c r="E14" s="519">
        <f>C14+D14</f>
        <v>6670257.319</v>
      </c>
    </row>
    <row r="15" spans="1:5" ht="12.75">
      <c r="A15" s="546">
        <v>29359</v>
      </c>
      <c r="B15" s="115" t="s">
        <v>304</v>
      </c>
      <c r="C15" s="71">
        <f>1200000/1000</f>
        <v>1200</v>
      </c>
      <c r="D15" s="71">
        <v>0</v>
      </c>
      <c r="E15" s="71">
        <f aca="true" t="shared" si="0" ref="E15:E24">C15+D15</f>
        <v>1200</v>
      </c>
    </row>
    <row r="16" spans="1:5" ht="12.75">
      <c r="A16" s="546">
        <v>27920</v>
      </c>
      <c r="B16" s="115" t="s">
        <v>286</v>
      </c>
      <c r="C16" s="71">
        <f>(6344209+2500000)/1000</f>
        <v>8844.209</v>
      </c>
      <c r="D16" s="71">
        <v>0</v>
      </c>
      <c r="E16" s="71">
        <f t="shared" si="0"/>
        <v>8844.209</v>
      </c>
    </row>
    <row r="17" spans="1:5" ht="12.75">
      <c r="A17" s="546">
        <v>27921</v>
      </c>
      <c r="B17" s="115" t="s">
        <v>21</v>
      </c>
      <c r="C17" s="71">
        <f>523737567/1000</f>
        <v>523737.567</v>
      </c>
      <c r="D17" s="71">
        <v>0</v>
      </c>
      <c r="E17" s="71">
        <f t="shared" si="0"/>
        <v>523737.567</v>
      </c>
    </row>
    <row r="18" spans="1:5" ht="12.75">
      <c r="A18" s="546">
        <v>27923</v>
      </c>
      <c r="B18" s="115" t="s">
        <v>22</v>
      </c>
      <c r="C18" s="71">
        <f>176105120/1000</f>
        <v>176105.12</v>
      </c>
      <c r="D18" s="71">
        <v>0</v>
      </c>
      <c r="E18" s="71">
        <f t="shared" si="0"/>
        <v>176105.12</v>
      </c>
    </row>
    <row r="19" spans="1:5" ht="12.75">
      <c r="A19" s="546">
        <v>27924</v>
      </c>
      <c r="B19" s="115" t="s">
        <v>23</v>
      </c>
      <c r="C19" s="71">
        <f>95294483/1000</f>
        <v>95294.483</v>
      </c>
      <c r="D19" s="71">
        <v>0</v>
      </c>
      <c r="E19" s="71">
        <f t="shared" si="0"/>
        <v>95294.483</v>
      </c>
    </row>
    <row r="20" spans="1:5" ht="12.75">
      <c r="A20" s="546">
        <v>29253</v>
      </c>
      <c r="B20" s="115" t="s">
        <v>24</v>
      </c>
      <c r="C20" s="71">
        <f>30252101/1000</f>
        <v>30252.101</v>
      </c>
      <c r="D20" s="71">
        <v>0</v>
      </c>
      <c r="E20" s="71">
        <f t="shared" si="0"/>
        <v>30252.101</v>
      </c>
    </row>
    <row r="21" spans="1:5" ht="12.75">
      <c r="A21" s="546">
        <v>29290</v>
      </c>
      <c r="B21" s="115" t="s">
        <v>25</v>
      </c>
      <c r="C21" s="71">
        <f>238484177/1000</f>
        <v>238484.177</v>
      </c>
      <c r="D21" s="71">
        <v>0</v>
      </c>
      <c r="E21" s="71">
        <f t="shared" si="0"/>
        <v>238484.177</v>
      </c>
    </row>
    <row r="22" spans="1:5" ht="12.75">
      <c r="A22" s="546">
        <v>29605</v>
      </c>
      <c r="B22" s="115" t="s">
        <v>26</v>
      </c>
      <c r="C22" s="71">
        <f>435476767/1000</f>
        <v>435476.767</v>
      </c>
      <c r="D22" s="71">
        <v>0</v>
      </c>
      <c r="E22" s="71">
        <f t="shared" si="0"/>
        <v>435476.767</v>
      </c>
    </row>
    <row r="23" spans="1:5" ht="12.75">
      <c r="A23" s="546">
        <v>29606</v>
      </c>
      <c r="B23" s="115" t="s">
        <v>27</v>
      </c>
      <c r="C23" s="66">
        <f>33804481/1000</f>
        <v>33804.481</v>
      </c>
      <c r="D23" s="66">
        <v>0</v>
      </c>
      <c r="E23" s="71">
        <f t="shared" si="0"/>
        <v>33804.481</v>
      </c>
    </row>
    <row r="24" spans="1:5" ht="12.75">
      <c r="A24" s="546">
        <v>29627</v>
      </c>
      <c r="B24" s="115" t="s">
        <v>329</v>
      </c>
      <c r="C24" s="66">
        <f>25714499/1000</f>
        <v>25714.499</v>
      </c>
      <c r="D24" s="66">
        <v>0</v>
      </c>
      <c r="E24" s="71">
        <f t="shared" si="0"/>
        <v>25714.499</v>
      </c>
    </row>
    <row r="25" spans="1:5" ht="12.75">
      <c r="A25" s="126"/>
      <c r="B25" s="125"/>
      <c r="C25" s="194"/>
      <c r="D25" s="193"/>
      <c r="E25" s="310"/>
    </row>
    <row r="26" spans="1:5" ht="12.75">
      <c r="A26" s="561" t="s">
        <v>28</v>
      </c>
      <c r="B26" s="116"/>
      <c r="C26" s="109">
        <f>SUM(C14:C24)</f>
        <v>8239170.722999999</v>
      </c>
      <c r="D26" s="109">
        <f>SUM(D14:D24)</f>
        <v>0</v>
      </c>
      <c r="E26" s="109">
        <f>SUM(E14:E24)</f>
        <v>8239170.722999999</v>
      </c>
    </row>
    <row r="27" spans="1:5" ht="12.75">
      <c r="A27" s="402" t="s">
        <v>29</v>
      </c>
      <c r="B27" s="126"/>
      <c r="C27" s="36"/>
      <c r="D27" s="37"/>
      <c r="E27" s="96"/>
    </row>
    <row r="28" spans="1:5" ht="12.75">
      <c r="A28" s="546">
        <v>27900</v>
      </c>
      <c r="B28" s="115" t="s">
        <v>30</v>
      </c>
      <c r="C28" s="520">
        <f>7612460/1000</f>
        <v>7612.46</v>
      </c>
      <c r="D28" s="521">
        <v>0</v>
      </c>
      <c r="E28" s="522">
        <f aca="true" t="shared" si="1" ref="E28:E46">C28+D28</f>
        <v>7612.46</v>
      </c>
    </row>
    <row r="29" spans="1:5" ht="12.75">
      <c r="A29" s="546">
        <v>27902</v>
      </c>
      <c r="B29" s="115" t="s">
        <v>514</v>
      </c>
      <c r="C29" s="71">
        <f>(10000000+294473665)/1000</f>
        <v>304473.665</v>
      </c>
      <c r="D29" s="196">
        <v>0</v>
      </c>
      <c r="E29" s="311">
        <f t="shared" si="1"/>
        <v>304473.665</v>
      </c>
    </row>
    <row r="30" spans="1:5" ht="12.75">
      <c r="A30" s="546">
        <v>27906</v>
      </c>
      <c r="B30" s="115" t="s">
        <v>31</v>
      </c>
      <c r="C30" s="66">
        <f>17500000/1000</f>
        <v>17500</v>
      </c>
      <c r="D30" s="195">
        <v>0</v>
      </c>
      <c r="E30" s="311">
        <f t="shared" si="1"/>
        <v>17500</v>
      </c>
    </row>
    <row r="31" spans="1:5" ht="12.75">
      <c r="A31" s="546">
        <v>27907</v>
      </c>
      <c r="B31" s="115" t="s">
        <v>32</v>
      </c>
      <c r="C31" s="66">
        <f>76021107/1000</f>
        <v>76021.107</v>
      </c>
      <c r="D31" s="195">
        <v>0</v>
      </c>
      <c r="E31" s="311">
        <f t="shared" si="1"/>
        <v>76021.107</v>
      </c>
    </row>
    <row r="32" spans="1:5" ht="12.75">
      <c r="A32" s="546">
        <v>27914</v>
      </c>
      <c r="B32" s="115" t="s">
        <v>489</v>
      </c>
      <c r="C32" s="71">
        <f>32034242/1000</f>
        <v>32034.242</v>
      </c>
      <c r="D32" s="196">
        <v>0</v>
      </c>
      <c r="E32" s="311">
        <f t="shared" si="1"/>
        <v>32034.242</v>
      </c>
    </row>
    <row r="33" spans="1:5" ht="12.75">
      <c r="A33" s="546">
        <v>29255</v>
      </c>
      <c r="B33" s="115" t="s">
        <v>33</v>
      </c>
      <c r="C33" s="67">
        <f>524734901/1000</f>
        <v>524734.901</v>
      </c>
      <c r="D33" s="195">
        <v>0</v>
      </c>
      <c r="E33" s="311">
        <f t="shared" si="1"/>
        <v>524734.901</v>
      </c>
    </row>
    <row r="34" spans="1:5" ht="12.75">
      <c r="A34" s="546">
        <v>29260</v>
      </c>
      <c r="B34" s="115" t="s">
        <v>293</v>
      </c>
      <c r="C34" s="66">
        <f>30285596/1000</f>
        <v>30285.596</v>
      </c>
      <c r="D34" s="195">
        <v>0</v>
      </c>
      <c r="E34" s="311">
        <f t="shared" si="1"/>
        <v>30285.596</v>
      </c>
    </row>
    <row r="35" spans="1:5" ht="12.75">
      <c r="A35" s="546">
        <v>29261</v>
      </c>
      <c r="B35" s="115" t="s">
        <v>61</v>
      </c>
      <c r="C35" s="66">
        <f>19518933/1000</f>
        <v>19518.933</v>
      </c>
      <c r="D35" s="195">
        <v>0</v>
      </c>
      <c r="E35" s="311">
        <f t="shared" si="1"/>
        <v>19518.933</v>
      </c>
    </row>
    <row r="36" spans="1:5" ht="12.75">
      <c r="A36" s="546">
        <v>29262</v>
      </c>
      <c r="B36" s="115" t="s">
        <v>34</v>
      </c>
      <c r="C36" s="66">
        <f>14434754/1000</f>
        <v>14434.754</v>
      </c>
      <c r="D36" s="195">
        <v>0</v>
      </c>
      <c r="E36" s="311">
        <f t="shared" si="1"/>
        <v>14434.754</v>
      </c>
    </row>
    <row r="37" spans="1:5" ht="12.75">
      <c r="A37" s="546">
        <v>29275</v>
      </c>
      <c r="B37" s="115" t="s">
        <v>35</v>
      </c>
      <c r="C37" s="66">
        <f>7191186/1000</f>
        <v>7191.186</v>
      </c>
      <c r="D37" s="195">
        <v>0</v>
      </c>
      <c r="E37" s="311">
        <f t="shared" si="1"/>
        <v>7191.186</v>
      </c>
    </row>
    <row r="38" spans="1:5" ht="12.75">
      <c r="A38" s="546">
        <v>29292</v>
      </c>
      <c r="B38" s="115" t="s">
        <v>36</v>
      </c>
      <c r="C38" s="66">
        <f>10000000/1000</f>
        <v>10000</v>
      </c>
      <c r="D38" s="195">
        <v>0</v>
      </c>
      <c r="E38" s="311">
        <f t="shared" si="1"/>
        <v>10000</v>
      </c>
    </row>
    <row r="39" spans="1:5" ht="12.75">
      <c r="A39" s="546">
        <v>29295</v>
      </c>
      <c r="B39" s="115" t="s">
        <v>37</v>
      </c>
      <c r="C39" s="67">
        <f>135009017/1000</f>
        <v>135009.017</v>
      </c>
      <c r="D39" s="195">
        <v>0</v>
      </c>
      <c r="E39" s="311">
        <f t="shared" si="1"/>
        <v>135009.017</v>
      </c>
    </row>
    <row r="40" spans="1:5" ht="12.75">
      <c r="A40" s="546">
        <v>29356</v>
      </c>
      <c r="B40" s="115" t="s">
        <v>474</v>
      </c>
      <c r="C40" s="67">
        <f>7028996/1000</f>
        <v>7028.996</v>
      </c>
      <c r="D40" s="195">
        <v>0</v>
      </c>
      <c r="E40" s="311">
        <f t="shared" si="1"/>
        <v>7028.996</v>
      </c>
    </row>
    <row r="41" spans="1:5" ht="12.75">
      <c r="A41" s="546">
        <v>29603</v>
      </c>
      <c r="B41" s="115" t="s">
        <v>38</v>
      </c>
      <c r="C41" s="66">
        <f>4682434/1000</f>
        <v>4682.434</v>
      </c>
      <c r="D41" s="195">
        <v>0</v>
      </c>
      <c r="E41" s="311">
        <f t="shared" si="1"/>
        <v>4682.434</v>
      </c>
    </row>
    <row r="42" spans="1:5" ht="12.75">
      <c r="A42" s="546">
        <v>29614</v>
      </c>
      <c r="B42" s="115" t="s">
        <v>490</v>
      </c>
      <c r="C42" s="66">
        <f>224946630/1000</f>
        <v>224946.63</v>
      </c>
      <c r="D42" s="195">
        <v>0</v>
      </c>
      <c r="E42" s="311">
        <f t="shared" si="1"/>
        <v>224946.63</v>
      </c>
    </row>
    <row r="43" spans="1:5" ht="12.75">
      <c r="A43" s="548">
        <v>29617</v>
      </c>
      <c r="B43" s="115" t="s">
        <v>294</v>
      </c>
      <c r="C43" s="66">
        <f>4300000/1000</f>
        <v>4300</v>
      </c>
      <c r="D43" s="195">
        <v>0</v>
      </c>
      <c r="E43" s="311">
        <f t="shared" si="1"/>
        <v>4300</v>
      </c>
    </row>
    <row r="44" spans="1:5" ht="12.75">
      <c r="A44" s="548" t="s">
        <v>40</v>
      </c>
      <c r="B44" s="115" t="s">
        <v>83</v>
      </c>
      <c r="C44" s="66">
        <f>15000000/1000</f>
        <v>15000</v>
      </c>
      <c r="D44" s="195">
        <v>0</v>
      </c>
      <c r="E44" s="311">
        <f t="shared" si="1"/>
        <v>15000</v>
      </c>
    </row>
    <row r="45" spans="1:5" ht="12.75">
      <c r="A45" s="548">
        <v>29624</v>
      </c>
      <c r="B45" s="115" t="s">
        <v>464</v>
      </c>
      <c r="C45" s="66">
        <f>50000000/1000</f>
        <v>50000</v>
      </c>
      <c r="D45" s="195">
        <v>0</v>
      </c>
      <c r="E45" s="311">
        <f>C45+D45</f>
        <v>50000</v>
      </c>
    </row>
    <row r="46" spans="1:5" ht="12.75">
      <c r="A46" s="548">
        <v>30400</v>
      </c>
      <c r="B46" s="115" t="s">
        <v>305</v>
      </c>
      <c r="C46" s="66">
        <f>334801/1000</f>
        <v>334.801</v>
      </c>
      <c r="D46" s="195">
        <v>0</v>
      </c>
      <c r="E46" s="311">
        <f t="shared" si="1"/>
        <v>334.801</v>
      </c>
    </row>
    <row r="47" spans="1:5" ht="12.75">
      <c r="A47" s="128"/>
      <c r="B47" s="115"/>
      <c r="C47" s="66"/>
      <c r="D47" s="195"/>
      <c r="E47" s="311"/>
    </row>
    <row r="48" spans="1:5" ht="12.75">
      <c r="A48" s="561" t="s">
        <v>41</v>
      </c>
      <c r="B48" s="183"/>
      <c r="C48" s="109">
        <f>SUM(C28:C47)</f>
        <v>1485108.722</v>
      </c>
      <c r="D48" s="109">
        <f>SUM(D28:D47)</f>
        <v>0</v>
      </c>
      <c r="E48" s="109">
        <f>SUM(E27:E47)</f>
        <v>1485108.722</v>
      </c>
    </row>
    <row r="49" spans="1:5" ht="12.75">
      <c r="A49" s="561" t="s">
        <v>42</v>
      </c>
      <c r="B49" s="184"/>
      <c r="C49" s="109">
        <f>C26+C48</f>
        <v>9724279.445</v>
      </c>
      <c r="D49" s="109">
        <f>D26+D48</f>
        <v>0</v>
      </c>
      <c r="E49" s="109">
        <f>E26+E48</f>
        <v>9724279.445</v>
      </c>
    </row>
    <row r="50" spans="1:5" ht="12.75">
      <c r="A50" s="47"/>
      <c r="B50" s="47"/>
      <c r="C50" s="48" t="s">
        <v>1</v>
      </c>
      <c r="D50" s="49"/>
      <c r="E50" s="95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 &amp;12 4&amp;10 -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10.57421875" style="0" customWidth="1"/>
    <col min="2" max="2" width="49.281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29" t="s">
        <v>43</v>
      </c>
      <c r="B12" s="117"/>
      <c r="C12" s="50"/>
      <c r="D12" s="37"/>
      <c r="E12" s="94"/>
    </row>
    <row r="13" spans="1:5" ht="12.75">
      <c r="A13" s="548" t="s">
        <v>452</v>
      </c>
      <c r="B13" s="115" t="s">
        <v>453</v>
      </c>
      <c r="C13" s="520">
        <f>97000000/1000</f>
        <v>97000</v>
      </c>
      <c r="D13" s="521">
        <v>0</v>
      </c>
      <c r="E13" s="523">
        <f aca="true" t="shared" si="0" ref="E13:E29">C13+D13</f>
        <v>97000</v>
      </c>
    </row>
    <row r="14" spans="1:5" ht="12.75">
      <c r="A14" s="548">
        <v>13022</v>
      </c>
      <c r="B14" s="115" t="s">
        <v>254</v>
      </c>
      <c r="C14" s="66">
        <f>(17807549+883909)/1000</f>
        <v>18691.458</v>
      </c>
      <c r="D14" s="195">
        <v>0</v>
      </c>
      <c r="E14" s="94">
        <f t="shared" si="0"/>
        <v>18691.458</v>
      </c>
    </row>
    <row r="15" spans="1:5" ht="12.75">
      <c r="A15" s="548" t="s">
        <v>44</v>
      </c>
      <c r="B15" s="115" t="s">
        <v>297</v>
      </c>
      <c r="C15" s="66">
        <f>21038101/1000</f>
        <v>21038.101</v>
      </c>
      <c r="D15" s="195">
        <v>0</v>
      </c>
      <c r="E15" s="94">
        <f t="shared" si="0"/>
        <v>21038.101</v>
      </c>
    </row>
    <row r="16" spans="1:5" ht="12.75">
      <c r="A16" s="548" t="s">
        <v>45</v>
      </c>
      <c r="B16" s="115" t="s">
        <v>62</v>
      </c>
      <c r="C16" s="66">
        <f>300476353/1000</f>
        <v>300476.353</v>
      </c>
      <c r="D16" s="195">
        <v>0</v>
      </c>
      <c r="E16" s="94">
        <f t="shared" si="0"/>
        <v>300476.353</v>
      </c>
    </row>
    <row r="17" spans="1:5" ht="12.75">
      <c r="A17" s="548" t="s">
        <v>46</v>
      </c>
      <c r="B17" s="115" t="s">
        <v>47</v>
      </c>
      <c r="C17" s="66">
        <f>14294282/1000</f>
        <v>14294.282</v>
      </c>
      <c r="D17" s="195">
        <v>0</v>
      </c>
      <c r="E17" s="94">
        <f t="shared" si="0"/>
        <v>14294.282</v>
      </c>
    </row>
    <row r="18" spans="1:5" ht="12.75">
      <c r="A18" s="548" t="s">
        <v>48</v>
      </c>
      <c r="B18" s="115" t="s">
        <v>49</v>
      </c>
      <c r="C18" s="66">
        <f>78242518/1000</f>
        <v>78242.518</v>
      </c>
      <c r="D18" s="195">
        <v>0</v>
      </c>
      <c r="E18" s="94">
        <f t="shared" si="0"/>
        <v>78242.518</v>
      </c>
    </row>
    <row r="19" spans="1:5" ht="12.75">
      <c r="A19" s="549" t="s">
        <v>63</v>
      </c>
      <c r="B19" s="115" t="s">
        <v>50</v>
      </c>
      <c r="C19" s="67">
        <f>(641409673+37691450)/1000</f>
        <v>679101.123</v>
      </c>
      <c r="D19" s="195">
        <v>0</v>
      </c>
      <c r="E19" s="94">
        <f t="shared" si="0"/>
        <v>679101.123</v>
      </c>
    </row>
    <row r="20" spans="1:5" ht="12.75">
      <c r="A20" s="548" t="s">
        <v>64</v>
      </c>
      <c r="B20" s="115" t="s">
        <v>51</v>
      </c>
      <c r="C20" s="66">
        <f>15000000/1000</f>
        <v>15000</v>
      </c>
      <c r="D20" s="195">
        <v>0</v>
      </c>
      <c r="E20" s="94">
        <f t="shared" si="0"/>
        <v>15000</v>
      </c>
    </row>
    <row r="21" spans="1:5" ht="12.75">
      <c r="A21" s="548" t="s">
        <v>52</v>
      </c>
      <c r="B21" s="115" t="s">
        <v>53</v>
      </c>
      <c r="C21" s="66">
        <f>269781558/1000</f>
        <v>269781.558</v>
      </c>
      <c r="D21" s="195">
        <v>0</v>
      </c>
      <c r="E21" s="94">
        <f t="shared" si="0"/>
        <v>269781.558</v>
      </c>
    </row>
    <row r="22" spans="1:5" ht="12.75">
      <c r="A22" s="548" t="s">
        <v>54</v>
      </c>
      <c r="B22" s="115" t="s">
        <v>295</v>
      </c>
      <c r="C22" s="66">
        <f>5250000/1000</f>
        <v>5250</v>
      </c>
      <c r="D22" s="195">
        <v>0</v>
      </c>
      <c r="E22" s="94">
        <f t="shared" si="0"/>
        <v>5250</v>
      </c>
    </row>
    <row r="23" spans="1:5" ht="12.75">
      <c r="A23" s="549" t="s">
        <v>65</v>
      </c>
      <c r="B23" s="115" t="s">
        <v>55</v>
      </c>
      <c r="C23" s="66">
        <f>18108427/1000</f>
        <v>18108.427</v>
      </c>
      <c r="D23" s="195">
        <v>0</v>
      </c>
      <c r="E23" s="94">
        <f t="shared" si="0"/>
        <v>18108.427</v>
      </c>
    </row>
    <row r="24" spans="1:5" s="238" customFormat="1" ht="12.75">
      <c r="A24" s="548" t="s">
        <v>56</v>
      </c>
      <c r="B24" s="115" t="s">
        <v>245</v>
      </c>
      <c r="C24" s="71">
        <f>108000000/1000</f>
        <v>108000</v>
      </c>
      <c r="D24" s="196">
        <v>0</v>
      </c>
      <c r="E24" s="94">
        <f t="shared" si="0"/>
        <v>108000</v>
      </c>
    </row>
    <row r="25" spans="1:5" ht="12.75">
      <c r="A25" s="548" t="s">
        <v>57</v>
      </c>
      <c r="B25" s="115" t="s">
        <v>58</v>
      </c>
      <c r="C25" s="66">
        <f>10200000/1000</f>
        <v>10200</v>
      </c>
      <c r="D25" s="195">
        <v>0</v>
      </c>
      <c r="E25" s="94">
        <f t="shared" si="0"/>
        <v>10200</v>
      </c>
    </row>
    <row r="26" spans="1:5" ht="12.75">
      <c r="A26" s="548">
        <v>13936</v>
      </c>
      <c r="B26" s="115" t="s">
        <v>296</v>
      </c>
      <c r="C26" s="66">
        <f>1550000/1000</f>
        <v>1550</v>
      </c>
      <c r="D26" s="195">
        <v>0</v>
      </c>
      <c r="E26" s="94">
        <f t="shared" si="0"/>
        <v>1550</v>
      </c>
    </row>
    <row r="27" spans="1:5" ht="12.75">
      <c r="A27" s="548">
        <v>13939</v>
      </c>
      <c r="B27" s="115" t="s">
        <v>240</v>
      </c>
      <c r="C27" s="66">
        <f>21011386/1000</f>
        <v>21011.386</v>
      </c>
      <c r="D27" s="195">
        <v>0</v>
      </c>
      <c r="E27" s="94">
        <f t="shared" si="0"/>
        <v>21011.386</v>
      </c>
    </row>
    <row r="28" spans="1:5" ht="12.75">
      <c r="A28" s="548" t="s">
        <v>241</v>
      </c>
      <c r="B28" s="115" t="s">
        <v>253</v>
      </c>
      <c r="C28" s="66">
        <f>34006181/1000</f>
        <v>34006.181</v>
      </c>
      <c r="D28" s="195">
        <v>0</v>
      </c>
      <c r="E28" s="94">
        <f t="shared" si="0"/>
        <v>34006.181</v>
      </c>
    </row>
    <row r="29" spans="1:5" ht="12.75">
      <c r="A29" s="548">
        <v>13945</v>
      </c>
      <c r="B29" s="115" t="s">
        <v>475</v>
      </c>
      <c r="C29" s="37">
        <f>30000000/1000</f>
        <v>30000</v>
      </c>
      <c r="D29" s="37">
        <v>0</v>
      </c>
      <c r="E29" s="94">
        <f t="shared" si="0"/>
        <v>30000</v>
      </c>
    </row>
    <row r="30" spans="1:5" ht="12.75">
      <c r="A30" s="550">
        <v>14711</v>
      </c>
      <c r="B30" s="119" t="s">
        <v>487</v>
      </c>
      <c r="C30" s="207">
        <f>178616/1000</f>
        <v>178.616</v>
      </c>
      <c r="D30" s="207">
        <v>0</v>
      </c>
      <c r="E30" s="528">
        <f>C30+D30</f>
        <v>178.616</v>
      </c>
    </row>
    <row r="31" spans="1:5" ht="12.75">
      <c r="A31" s="552">
        <v>14717</v>
      </c>
      <c r="B31" s="118" t="s">
        <v>620</v>
      </c>
      <c r="C31" s="37">
        <f>7700000/1000</f>
        <v>7700</v>
      </c>
      <c r="D31" s="37">
        <v>0</v>
      </c>
      <c r="E31" s="94">
        <f>C31+D31</f>
        <v>7700</v>
      </c>
    </row>
    <row r="32" spans="1:5" ht="12.75">
      <c r="A32" s="353"/>
      <c r="B32" s="118"/>
      <c r="C32" s="37"/>
      <c r="D32" s="37"/>
      <c r="E32" s="94"/>
    </row>
    <row r="33" spans="1:5" ht="12.75">
      <c r="A33" s="562" t="s">
        <v>247</v>
      </c>
      <c r="B33" s="46"/>
      <c r="C33" s="114">
        <f>SUM(C13:C31)</f>
        <v>1729630.0029999998</v>
      </c>
      <c r="D33" s="114">
        <f>SUM(D13:D31)</f>
        <v>0</v>
      </c>
      <c r="E33" s="114">
        <f>SUM(E13:E31)</f>
        <v>1729630.0029999998</v>
      </c>
    </row>
    <row r="34" spans="1:5" ht="12.75">
      <c r="A34" s="47"/>
      <c r="B34" s="47"/>
      <c r="C34" s="48"/>
      <c r="D34" s="49"/>
      <c r="E34" s="95"/>
    </row>
    <row r="35" spans="1:5" ht="12.75">
      <c r="A35" s="130" t="s">
        <v>66</v>
      </c>
      <c r="B35" s="117"/>
      <c r="D35" s="37"/>
      <c r="E35" s="94"/>
    </row>
    <row r="36" spans="1:5" ht="12.75">
      <c r="A36" s="549" t="s">
        <v>67</v>
      </c>
      <c r="B36" s="553" t="s">
        <v>510</v>
      </c>
      <c r="C36" s="524">
        <v>0</v>
      </c>
      <c r="D36" s="523">
        <v>942.164</v>
      </c>
      <c r="E36" s="523">
        <f aca="true" t="shared" si="1" ref="E36:E49">C36+D36</f>
        <v>942.164</v>
      </c>
    </row>
    <row r="37" spans="1:5" ht="12.75">
      <c r="A37" s="549" t="s">
        <v>67</v>
      </c>
      <c r="B37" s="553" t="s">
        <v>511</v>
      </c>
      <c r="C37" s="68">
        <v>0</v>
      </c>
      <c r="D37" s="37">
        <v>1416.313</v>
      </c>
      <c r="E37" s="37">
        <f t="shared" si="1"/>
        <v>1416.313</v>
      </c>
    </row>
    <row r="38" spans="1:5" ht="12.75">
      <c r="A38" s="549" t="s">
        <v>67</v>
      </c>
      <c r="B38" s="553" t="s">
        <v>509</v>
      </c>
      <c r="C38" s="68">
        <v>0</v>
      </c>
      <c r="D38" s="37">
        <v>5500</v>
      </c>
      <c r="E38" s="37">
        <f t="shared" si="1"/>
        <v>5500</v>
      </c>
    </row>
    <row r="39" spans="1:5" ht="12.75">
      <c r="A39" s="549" t="s">
        <v>67</v>
      </c>
      <c r="B39" s="553" t="s">
        <v>479</v>
      </c>
      <c r="C39" s="68">
        <f>(657826+72910)/1000</f>
        <v>730.736</v>
      </c>
      <c r="D39" s="37">
        <v>0</v>
      </c>
      <c r="E39" s="37">
        <f t="shared" si="1"/>
        <v>730.736</v>
      </c>
    </row>
    <row r="40" spans="1:5" ht="12.75">
      <c r="A40" s="549" t="s">
        <v>67</v>
      </c>
      <c r="B40" s="553" t="s">
        <v>472</v>
      </c>
      <c r="C40" s="68">
        <f>2430300/1000</f>
        <v>2430.3</v>
      </c>
      <c r="D40" s="37">
        <v>0</v>
      </c>
      <c r="E40" s="37">
        <f t="shared" si="1"/>
        <v>2430.3</v>
      </c>
    </row>
    <row r="41" spans="1:5" ht="12.75">
      <c r="A41" s="549" t="s">
        <v>67</v>
      </c>
      <c r="B41" s="553" t="s">
        <v>471</v>
      </c>
      <c r="C41" s="68">
        <f>(3063726+13679)/1000</f>
        <v>3077.405</v>
      </c>
      <c r="D41" s="37">
        <v>0</v>
      </c>
      <c r="E41" s="37">
        <f t="shared" si="1"/>
        <v>3077.405</v>
      </c>
    </row>
    <row r="42" spans="1:5" ht="12.75">
      <c r="A42" s="549" t="s">
        <v>67</v>
      </c>
      <c r="B42" s="553" t="s">
        <v>491</v>
      </c>
      <c r="C42" s="68">
        <f>(21518+3986)/1000</f>
        <v>25.504</v>
      </c>
      <c r="D42" s="37">
        <v>0</v>
      </c>
      <c r="E42" s="37">
        <f t="shared" si="1"/>
        <v>25.504</v>
      </c>
    </row>
    <row r="43" spans="1:5" ht="12.75">
      <c r="A43" s="549" t="s">
        <v>67</v>
      </c>
      <c r="B43" s="115" t="s">
        <v>470</v>
      </c>
      <c r="C43" s="68">
        <f>(2000000+996816)/1000</f>
        <v>2996.816</v>
      </c>
      <c r="D43" s="37">
        <v>0</v>
      </c>
      <c r="E43" s="37">
        <f t="shared" si="1"/>
        <v>2996.816</v>
      </c>
    </row>
    <row r="44" spans="1:5" ht="12.75">
      <c r="A44" s="549" t="s">
        <v>67</v>
      </c>
      <c r="B44" s="115" t="s">
        <v>523</v>
      </c>
      <c r="C44" s="68">
        <f>5200000/1000</f>
        <v>5200</v>
      </c>
      <c r="D44" s="37">
        <v>0</v>
      </c>
      <c r="E44" s="37">
        <f>C44+D44</f>
        <v>5200</v>
      </c>
    </row>
    <row r="45" spans="1:5" ht="12.75">
      <c r="A45" s="549" t="s">
        <v>67</v>
      </c>
      <c r="B45" s="553" t="s">
        <v>512</v>
      </c>
      <c r="C45" s="68">
        <v>0</v>
      </c>
      <c r="D45" s="37">
        <v>972.848</v>
      </c>
      <c r="E45" s="37">
        <f t="shared" si="1"/>
        <v>972.848</v>
      </c>
    </row>
    <row r="46" spans="1:5" ht="12.75">
      <c r="A46" s="549" t="s">
        <v>67</v>
      </c>
      <c r="B46" s="553" t="s">
        <v>630</v>
      </c>
      <c r="C46" s="68">
        <v>0</v>
      </c>
      <c r="D46" s="37">
        <v>276.903</v>
      </c>
      <c r="E46" s="37">
        <f t="shared" si="1"/>
        <v>276.903</v>
      </c>
    </row>
    <row r="47" spans="1:5" ht="12.75">
      <c r="A47" s="549" t="s">
        <v>68</v>
      </c>
      <c r="B47" s="115" t="s">
        <v>292</v>
      </c>
      <c r="C47" s="68">
        <f>100000/1000</f>
        <v>100</v>
      </c>
      <c r="D47" s="37">
        <v>0</v>
      </c>
      <c r="E47" s="37">
        <f t="shared" si="1"/>
        <v>100</v>
      </c>
    </row>
    <row r="48" spans="1:5" ht="12.75">
      <c r="A48" s="550" t="s">
        <v>68</v>
      </c>
      <c r="B48" s="119" t="s">
        <v>276</v>
      </c>
      <c r="C48" s="51">
        <f>541787/1000</f>
        <v>541.787</v>
      </c>
      <c r="D48" s="37">
        <v>0</v>
      </c>
      <c r="E48" s="37">
        <f t="shared" si="1"/>
        <v>541.787</v>
      </c>
    </row>
    <row r="49" spans="1:5" ht="12.75">
      <c r="A49" s="549" t="s">
        <v>68</v>
      </c>
      <c r="B49" s="115" t="s">
        <v>524</v>
      </c>
      <c r="C49" s="68">
        <f>130980/1000</f>
        <v>130.98</v>
      </c>
      <c r="D49" s="37">
        <v>0</v>
      </c>
      <c r="E49" s="37">
        <f t="shared" si="1"/>
        <v>130.98</v>
      </c>
    </row>
    <row r="50" spans="1:5" ht="12.75">
      <c r="A50" s="131"/>
      <c r="B50" s="119"/>
      <c r="C50" s="51"/>
      <c r="D50" s="37"/>
      <c r="E50" s="94"/>
    </row>
    <row r="51" spans="1:5" ht="12.75">
      <c r="A51" s="560" t="s">
        <v>250</v>
      </c>
      <c r="B51" s="52"/>
      <c r="C51" s="109">
        <f>SUM(C36:C50)</f>
        <v>15233.528</v>
      </c>
      <c r="D51" s="109">
        <f>SUM(D36:D50)</f>
        <v>9108.228000000001</v>
      </c>
      <c r="E51" s="109">
        <f>SUM(E36:E50)</f>
        <v>24341.756</v>
      </c>
    </row>
    <row r="52" spans="3:5" ht="12.75">
      <c r="C52"/>
      <c r="D52"/>
      <c r="E52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&amp;C-&amp;12 5&amp;10 -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0" customWidth="1"/>
    <col min="2" max="2" width="43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578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32" t="s">
        <v>69</v>
      </c>
      <c r="B12" s="120"/>
      <c r="C12" s="53"/>
      <c r="D12" s="51"/>
      <c r="E12" s="96"/>
    </row>
    <row r="13" spans="1:5" ht="12.75">
      <c r="A13" s="554" t="s">
        <v>70</v>
      </c>
      <c r="B13" s="115" t="s">
        <v>71</v>
      </c>
      <c r="C13" s="524">
        <f>12750</f>
        <v>12750</v>
      </c>
      <c r="D13" s="521">
        <v>0</v>
      </c>
      <c r="E13" s="521">
        <f>C13+D13</f>
        <v>12750</v>
      </c>
    </row>
    <row r="14" spans="1:5" ht="12.75">
      <c r="A14" s="549" t="s">
        <v>72</v>
      </c>
      <c r="B14" s="115" t="s">
        <v>73</v>
      </c>
      <c r="C14" s="68">
        <v>28000</v>
      </c>
      <c r="D14" s="195">
        <v>0</v>
      </c>
      <c r="E14" s="93">
        <f>C14+D14</f>
        <v>28000</v>
      </c>
    </row>
    <row r="15" spans="1:5" ht="12.75">
      <c r="A15" s="554" t="s">
        <v>74</v>
      </c>
      <c r="B15" s="115" t="s">
        <v>75</v>
      </c>
      <c r="C15" s="68">
        <v>7000</v>
      </c>
      <c r="D15" s="195">
        <v>0</v>
      </c>
      <c r="E15" s="93">
        <f>C15+D15</f>
        <v>7000</v>
      </c>
    </row>
    <row r="16" spans="1:5" ht="12.75">
      <c r="A16" s="549" t="s">
        <v>74</v>
      </c>
      <c r="B16" s="115" t="s">
        <v>76</v>
      </c>
      <c r="C16" s="68">
        <v>8174</v>
      </c>
      <c r="D16" s="195">
        <v>0</v>
      </c>
      <c r="E16" s="93">
        <f>C16+D16</f>
        <v>8174</v>
      </c>
    </row>
    <row r="17" spans="1:5" ht="12.75">
      <c r="A17" s="133"/>
      <c r="B17" s="115"/>
      <c r="C17" s="71"/>
      <c r="D17" s="51"/>
      <c r="E17" s="96"/>
    </row>
    <row r="18" spans="1:5" ht="12.75">
      <c r="A18" s="560" t="s">
        <v>249</v>
      </c>
      <c r="B18" s="52"/>
      <c r="C18" s="109">
        <f>SUM(C13:C16)</f>
        <v>55924</v>
      </c>
      <c r="D18" s="109">
        <f>SUM(D13:D16)</f>
        <v>0</v>
      </c>
      <c r="E18" s="109">
        <f>SUM(E13:E16)</f>
        <v>55924</v>
      </c>
    </row>
    <row r="19" spans="1:5" ht="12.75">
      <c r="A19" s="131"/>
      <c r="B19" s="119"/>
      <c r="C19" s="51"/>
      <c r="D19" s="51"/>
      <c r="E19" s="96"/>
    </row>
    <row r="20" spans="1:5" ht="12.75">
      <c r="A20" s="134" t="s">
        <v>77</v>
      </c>
      <c r="B20" s="115"/>
      <c r="C20" s="54"/>
      <c r="D20" s="51"/>
      <c r="E20" s="96"/>
    </row>
    <row r="21" spans="1:5" ht="12.75">
      <c r="A21" s="554">
        <v>31938</v>
      </c>
      <c r="B21" s="115" t="s">
        <v>277</v>
      </c>
      <c r="C21" s="525">
        <f>22264750/1000</f>
        <v>22264.75</v>
      </c>
      <c r="D21" s="521">
        <v>0</v>
      </c>
      <c r="E21" s="521">
        <f>C21+D21</f>
        <v>22264.75</v>
      </c>
    </row>
    <row r="22" spans="1:5" ht="12.75">
      <c r="A22" s="554" t="s">
        <v>78</v>
      </c>
      <c r="B22" s="115" t="s">
        <v>255</v>
      </c>
      <c r="C22" s="226">
        <f>50000000/1000</f>
        <v>50000</v>
      </c>
      <c r="D22" s="195">
        <v>0</v>
      </c>
      <c r="E22" s="93">
        <f>C22+D22</f>
        <v>50000</v>
      </c>
    </row>
    <row r="23" spans="1:5" ht="12.75">
      <c r="A23" s="555">
        <v>41905</v>
      </c>
      <c r="B23" s="115" t="s">
        <v>473</v>
      </c>
      <c r="C23" s="66">
        <f>67125516/1000</f>
        <v>67125.516</v>
      </c>
      <c r="D23" s="195">
        <v>0</v>
      </c>
      <c r="E23" s="93">
        <f>C23+D23</f>
        <v>67125.516</v>
      </c>
    </row>
    <row r="24" spans="1:5" ht="12.75">
      <c r="A24" s="555">
        <v>41911</v>
      </c>
      <c r="B24" s="115" t="s">
        <v>59</v>
      </c>
      <c r="C24" s="66">
        <f>1000000/1000</f>
        <v>1000</v>
      </c>
      <c r="D24" s="195">
        <v>0</v>
      </c>
      <c r="E24" s="93">
        <f>C24+D24</f>
        <v>1000</v>
      </c>
    </row>
    <row r="25" spans="1:5" ht="12.75">
      <c r="A25" s="555">
        <v>41917</v>
      </c>
      <c r="B25" s="121" t="s">
        <v>288</v>
      </c>
      <c r="C25" s="55">
        <f>5326770/1000</f>
        <v>5326.77</v>
      </c>
      <c r="D25" s="51">
        <v>0</v>
      </c>
      <c r="E25" s="96">
        <f>C25+D25</f>
        <v>5326.77</v>
      </c>
    </row>
    <row r="26" spans="1:5" ht="12.75">
      <c r="A26" s="135"/>
      <c r="B26" s="121"/>
      <c r="C26" s="55"/>
      <c r="D26" s="51"/>
      <c r="E26" s="96"/>
    </row>
    <row r="27" spans="1:5" ht="12.75">
      <c r="A27" s="559" t="s">
        <v>248</v>
      </c>
      <c r="B27" s="56"/>
      <c r="C27" s="109">
        <f>SUM(C21:C26)</f>
        <v>145717.036</v>
      </c>
      <c r="D27" s="109">
        <f>SUM(D21:D26)</f>
        <v>0</v>
      </c>
      <c r="E27" s="109">
        <f>SUM(E21:E26)</f>
        <v>145717.036</v>
      </c>
    </row>
    <row r="28" spans="1:5" ht="12.75">
      <c r="A28" s="57"/>
      <c r="B28" s="57"/>
      <c r="C28" s="110"/>
      <c r="D28" s="111"/>
      <c r="E28" s="111"/>
    </row>
    <row r="29" spans="1:5" ht="12.75">
      <c r="A29" s="131"/>
      <c r="B29" s="119"/>
      <c r="C29" s="112"/>
      <c r="D29" s="112"/>
      <c r="E29" s="112"/>
    </row>
    <row r="30" spans="1:5" ht="12.75">
      <c r="A30" s="557" t="s">
        <v>79</v>
      </c>
      <c r="B30" s="557"/>
      <c r="C30" s="109">
        <f>'Revenue Budget Update_1 of 3'!C49+'Revenue Budget Update_2 of 3'!C33+'Revenue Budget Update_2 of 3'!C51+'Revenue Budget Update_3 of 3'!C18+'Revenue Budget Update_3 of 3'!C27</f>
        <v>11670784.012000002</v>
      </c>
      <c r="D30" s="109">
        <f>'Revenue Budget Update_1 of 3'!D49+'Revenue Budget Update_2 of 3'!D33+'Revenue Budget Update_2 of 3'!D51+'Revenue Budget Update_3 of 3'!D18+'Revenue Budget Update_3 of 3'!D27</f>
        <v>9108.228000000001</v>
      </c>
      <c r="E30" s="109">
        <f>'Revenue Budget Update_1 of 3'!E49+'Revenue Budget Update_2 of 3'!E33+'Revenue Budget Update_2 of 3'!E51+'Revenue Budget Update_3 of 3'!E18+'Revenue Budget Update_3 of 3'!E27</f>
        <v>11679892.24</v>
      </c>
    </row>
    <row r="31" spans="1:5" ht="12.75">
      <c r="A31" s="558"/>
      <c r="B31" s="558"/>
      <c r="C31" s="113"/>
      <c r="D31" s="113"/>
      <c r="E31" s="113"/>
    </row>
    <row r="32" spans="1:5" ht="12.75">
      <c r="A32" s="557" t="s">
        <v>80</v>
      </c>
      <c r="B32" s="557"/>
      <c r="C32" s="109">
        <f>10278171254/1000</f>
        <v>10278171.254</v>
      </c>
      <c r="D32" s="526">
        <v>0</v>
      </c>
      <c r="E32" s="109">
        <f>+C32+D32</f>
        <v>10278171.254</v>
      </c>
    </row>
    <row r="33" spans="1:5" ht="12.75">
      <c r="A33" s="122"/>
      <c r="B33" s="122"/>
      <c r="C33" s="102"/>
      <c r="D33" s="103"/>
      <c r="E33" s="103"/>
    </row>
    <row r="34" spans="1:5" ht="12.75">
      <c r="A34" s="122"/>
      <c r="B34" s="102" t="s">
        <v>251</v>
      </c>
      <c r="C34" s="102"/>
      <c r="D34" s="102"/>
      <c r="E34" s="104"/>
    </row>
    <row r="35" spans="1:5" ht="12.75">
      <c r="A35" s="122"/>
      <c r="B35" s="102" t="s">
        <v>456</v>
      </c>
      <c r="C35" s="102"/>
      <c r="D35" s="102"/>
      <c r="E35" s="403">
        <f>-55924000/1000</f>
        <v>-55924</v>
      </c>
    </row>
    <row r="36" spans="1:5" ht="12.75">
      <c r="A36" s="122"/>
      <c r="B36" s="102" t="s">
        <v>457</v>
      </c>
      <c r="C36" s="102"/>
      <c r="D36" s="105"/>
      <c r="E36" s="188">
        <f>-2500000/1000</f>
        <v>-2500</v>
      </c>
    </row>
    <row r="37" spans="1:5" ht="12.75">
      <c r="A37" s="122"/>
      <c r="B37" s="102" t="s">
        <v>455</v>
      </c>
      <c r="C37" s="102"/>
      <c r="D37" s="105"/>
      <c r="E37" s="188">
        <f>19177490/1000</f>
        <v>19177.49</v>
      </c>
    </row>
    <row r="38" spans="1:5" ht="12.75">
      <c r="A38" s="122"/>
      <c r="B38" s="343"/>
      <c r="C38" s="344"/>
      <c r="D38" s="345"/>
      <c r="E38" s="346"/>
    </row>
    <row r="39" spans="1:5" ht="12.75">
      <c r="A39" s="122"/>
      <c r="B39" s="102" t="s">
        <v>81</v>
      </c>
      <c r="C39" s="102"/>
      <c r="D39" s="102"/>
      <c r="E39" s="403">
        <f>+E35+E36+E37</f>
        <v>-39246.509999999995</v>
      </c>
    </row>
    <row r="40" spans="1:5" ht="13.5" thickBot="1">
      <c r="A40" s="122"/>
      <c r="B40" s="122"/>
      <c r="C40" s="102"/>
      <c r="D40" s="102"/>
      <c r="E40" s="188"/>
    </row>
    <row r="41" spans="1:5" ht="14.25" thickBot="1" thickTop="1">
      <c r="A41" s="185" t="s">
        <v>82</v>
      </c>
      <c r="B41" s="123"/>
      <c r="C41" s="106"/>
      <c r="D41" s="106"/>
      <c r="E41" s="197">
        <f>E39+E32+E30</f>
        <v>21918816.984</v>
      </c>
    </row>
    <row r="42" spans="1:5" ht="13.5" thickTop="1">
      <c r="A42" s="124"/>
      <c r="B42" s="124"/>
      <c r="E42" s="107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5" header="0" footer="0.25"/>
  <pageSetup horizontalDpi="600" verticalDpi="600" orientation="portrait" scale="90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11" topLeftCell="A1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0" customWidth="1"/>
    <col min="2" max="2" width="45.7109375" style="0" customWidth="1"/>
    <col min="3" max="3" width="12.8515625" style="0" customWidth="1"/>
    <col min="4" max="4" width="12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">
        <v>628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547"/>
      <c r="B8" s="547"/>
      <c r="C8" s="576" t="s">
        <v>520</v>
      </c>
      <c r="D8" s="576" t="s">
        <v>454</v>
      </c>
      <c r="E8" s="576" t="s">
        <v>280</v>
      </c>
      <c r="F8" s="576" t="s">
        <v>281</v>
      </c>
      <c r="G8" s="576" t="s">
        <v>282</v>
      </c>
    </row>
    <row r="9" spans="1:7" ht="12.75">
      <c r="A9" s="576" t="s">
        <v>15</v>
      </c>
      <c r="B9" s="547"/>
      <c r="C9" s="576" t="s">
        <v>2</v>
      </c>
      <c r="D9" s="576" t="s">
        <v>298</v>
      </c>
      <c r="E9" s="576" t="s">
        <v>283</v>
      </c>
      <c r="F9" s="576" t="s">
        <v>284</v>
      </c>
      <c r="G9" s="576" t="s">
        <v>285</v>
      </c>
    </row>
    <row r="10" spans="1:7" ht="12.75">
      <c r="A10" s="576" t="s">
        <v>16</v>
      </c>
      <c r="B10" s="547" t="s">
        <v>17</v>
      </c>
      <c r="C10" s="576" t="s">
        <v>5</v>
      </c>
      <c r="D10" s="576" t="s">
        <v>299</v>
      </c>
      <c r="E10" s="576" t="s">
        <v>629</v>
      </c>
      <c r="F10" s="576" t="str">
        <f>+E10</f>
        <v>YTD - 9/24/15</v>
      </c>
      <c r="G10" s="576" t="str">
        <f>+F10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 customHeight="1">
      <c r="A12" s="41"/>
      <c r="B12" s="61"/>
      <c r="C12" s="575"/>
      <c r="D12" s="575"/>
      <c r="E12" s="35"/>
      <c r="F12" s="35"/>
      <c r="G12" s="35"/>
    </row>
    <row r="13" spans="1:6" ht="12.75">
      <c r="A13" s="64" t="s">
        <v>19</v>
      </c>
      <c r="B13" s="45"/>
      <c r="C13" s="45"/>
      <c r="D13" s="45"/>
      <c r="E13" s="204"/>
      <c r="F13" s="204"/>
    </row>
    <row r="14" spans="1:6" ht="12.75">
      <c r="A14" s="65" t="s">
        <v>20</v>
      </c>
      <c r="B14" s="35"/>
      <c r="C14" s="206"/>
      <c r="D14" s="206"/>
      <c r="E14" s="37"/>
      <c r="F14" s="37"/>
    </row>
    <row r="15" spans="1:7" ht="12.75">
      <c r="A15" s="546">
        <v>29358</v>
      </c>
      <c r="B15" s="547" t="s">
        <v>303</v>
      </c>
      <c r="C15" s="519">
        <v>6670257.319</v>
      </c>
      <c r="D15" s="519">
        <v>6670257.319</v>
      </c>
      <c r="E15" s="524">
        <v>643723.1</v>
      </c>
      <c r="F15" s="524">
        <v>0</v>
      </c>
      <c r="G15" s="208">
        <f>+E15/D15</f>
        <v>0.09650648681369109</v>
      </c>
    </row>
    <row r="16" spans="1:7" ht="12.75">
      <c r="A16" s="546">
        <v>29359</v>
      </c>
      <c r="B16" s="547" t="s">
        <v>304</v>
      </c>
      <c r="C16" s="71">
        <v>1200</v>
      </c>
      <c r="D16" s="71">
        <v>1200</v>
      </c>
      <c r="E16" s="68">
        <v>139.4</v>
      </c>
      <c r="F16" s="68">
        <v>0</v>
      </c>
      <c r="G16" s="208">
        <f aca="true" t="shared" si="0" ref="G16:G25">+E16/D16</f>
        <v>0.11616666666666667</v>
      </c>
    </row>
    <row r="17" spans="1:7" ht="12.75">
      <c r="A17" s="546">
        <v>27920</v>
      </c>
      <c r="B17" s="547" t="s">
        <v>286</v>
      </c>
      <c r="C17" s="71">
        <v>8844.209</v>
      </c>
      <c r="D17" s="71">
        <v>8844.209</v>
      </c>
      <c r="E17" s="68">
        <v>1027.5</v>
      </c>
      <c r="F17" s="68">
        <v>0</v>
      </c>
      <c r="G17" s="208">
        <f t="shared" si="0"/>
        <v>0.11617771583643036</v>
      </c>
    </row>
    <row r="18" spans="1:7" ht="12.75">
      <c r="A18" s="546">
        <v>27921</v>
      </c>
      <c r="B18" s="547" t="s">
        <v>21</v>
      </c>
      <c r="C18" s="71">
        <v>523737.567</v>
      </c>
      <c r="D18" s="71">
        <v>523737.567</v>
      </c>
      <c r="E18" s="68">
        <v>60645.2</v>
      </c>
      <c r="F18" s="68">
        <v>0</v>
      </c>
      <c r="G18" s="208">
        <f t="shared" si="0"/>
        <v>0.1157931067411859</v>
      </c>
    </row>
    <row r="19" spans="1:7" ht="12.75">
      <c r="A19" s="546">
        <v>27923</v>
      </c>
      <c r="B19" s="547" t="s">
        <v>22</v>
      </c>
      <c r="C19" s="71">
        <v>176105.12</v>
      </c>
      <c r="D19" s="71">
        <v>176105.12</v>
      </c>
      <c r="E19" s="68">
        <v>0</v>
      </c>
      <c r="F19" s="68">
        <v>0</v>
      </c>
      <c r="G19" s="208">
        <f t="shared" si="0"/>
        <v>0</v>
      </c>
    </row>
    <row r="20" spans="1:7" ht="12.75">
      <c r="A20" s="546">
        <v>27924</v>
      </c>
      <c r="B20" s="547" t="s">
        <v>23</v>
      </c>
      <c r="C20" s="71">
        <v>95294.483</v>
      </c>
      <c r="D20" s="71">
        <v>95294.483</v>
      </c>
      <c r="E20" s="68">
        <v>10913</v>
      </c>
      <c r="F20" s="68">
        <v>0</v>
      </c>
      <c r="G20" s="208">
        <f t="shared" si="0"/>
        <v>0.11451869674344108</v>
      </c>
    </row>
    <row r="21" spans="1:7" ht="12.75">
      <c r="A21" s="546">
        <v>29253</v>
      </c>
      <c r="B21" s="547" t="s">
        <v>24</v>
      </c>
      <c r="C21" s="71">
        <v>30252.101</v>
      </c>
      <c r="D21" s="71">
        <v>30252.101</v>
      </c>
      <c r="E21" s="68">
        <v>3580.8</v>
      </c>
      <c r="F21" s="68">
        <v>0</v>
      </c>
      <c r="G21" s="208">
        <f t="shared" si="0"/>
        <v>0.11836533270862742</v>
      </c>
    </row>
    <row r="22" spans="1:7" ht="12.75">
      <c r="A22" s="546">
        <v>29290</v>
      </c>
      <c r="B22" s="547" t="s">
        <v>25</v>
      </c>
      <c r="C22" s="71">
        <v>238484.177</v>
      </c>
      <c r="D22" s="71">
        <v>238484.177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6">
        <v>29605</v>
      </c>
      <c r="B23" s="547" t="s">
        <v>26</v>
      </c>
      <c r="C23" s="71">
        <v>435476.767</v>
      </c>
      <c r="D23" s="71">
        <v>435476.767</v>
      </c>
      <c r="E23" s="68">
        <v>120619.9</v>
      </c>
      <c r="F23" s="68">
        <v>0</v>
      </c>
      <c r="G23" s="208">
        <f t="shared" si="0"/>
        <v>0.2769835480109551</v>
      </c>
    </row>
    <row r="24" spans="1:7" ht="12.75">
      <c r="A24" s="546">
        <v>29606</v>
      </c>
      <c r="B24" s="547" t="s">
        <v>27</v>
      </c>
      <c r="C24" s="71">
        <v>33804.481</v>
      </c>
      <c r="D24" s="71">
        <v>33804.481</v>
      </c>
      <c r="E24" s="68">
        <v>3927.3</v>
      </c>
      <c r="F24" s="68">
        <v>0</v>
      </c>
      <c r="G24" s="208">
        <f t="shared" si="0"/>
        <v>0.11617690565934144</v>
      </c>
    </row>
    <row r="25" spans="1:7" ht="12.75">
      <c r="A25" s="546">
        <v>29627</v>
      </c>
      <c r="B25" s="547" t="s">
        <v>329</v>
      </c>
      <c r="C25" s="71">
        <v>25714.499</v>
      </c>
      <c r="D25" s="71">
        <v>25714.499</v>
      </c>
      <c r="E25" s="68">
        <v>3078</v>
      </c>
      <c r="F25" s="68">
        <v>0</v>
      </c>
      <c r="G25" s="208">
        <f t="shared" si="0"/>
        <v>0.11969900716323503</v>
      </c>
    </row>
    <row r="26" spans="1:7" ht="12.75">
      <c r="A26" s="126"/>
      <c r="B26" s="125"/>
      <c r="C26" s="66" t="s">
        <v>1</v>
      </c>
      <c r="D26" s="194"/>
      <c r="E26" s="68"/>
      <c r="F26" s="68"/>
      <c r="G26" s="233"/>
    </row>
    <row r="27" spans="1:7" ht="12.75">
      <c r="A27" s="561" t="s">
        <v>28</v>
      </c>
      <c r="B27" s="116"/>
      <c r="C27" s="109">
        <f>SUM(C15:C25)</f>
        <v>8239170.722999999</v>
      </c>
      <c r="D27" s="109">
        <f>SUM(D15:D25)</f>
        <v>8239170.722999999</v>
      </c>
      <c r="E27" s="109">
        <f>SUM(E15:E25)</f>
        <v>847654.2000000001</v>
      </c>
      <c r="F27" s="109">
        <f>SUM(F15:F25)</f>
        <v>0</v>
      </c>
      <c r="G27" s="233">
        <f>+E27/D27</f>
        <v>0.10288100932703542</v>
      </c>
    </row>
    <row r="28" spans="1:7" ht="12.75">
      <c r="A28" s="127" t="s">
        <v>29</v>
      </c>
      <c r="B28" s="126"/>
      <c r="C28" s="36"/>
      <c r="D28" s="36"/>
      <c r="E28" s="68"/>
      <c r="F28" s="68"/>
      <c r="G28" s="208"/>
    </row>
    <row r="29" spans="1:7" ht="12.75">
      <c r="A29" s="546">
        <v>27900</v>
      </c>
      <c r="B29" s="547" t="s">
        <v>30</v>
      </c>
      <c r="C29" s="519">
        <v>7612.46</v>
      </c>
      <c r="D29" s="519">
        <v>7612.46</v>
      </c>
      <c r="E29" s="524">
        <v>0</v>
      </c>
      <c r="F29" s="524">
        <v>0</v>
      </c>
      <c r="G29" s="208">
        <f aca="true" t="shared" si="1" ref="G29:G47">+E29/D29</f>
        <v>0</v>
      </c>
    </row>
    <row r="30" spans="1:7" ht="12.75">
      <c r="A30" s="546">
        <v>27902</v>
      </c>
      <c r="B30" s="547" t="s">
        <v>624</v>
      </c>
      <c r="C30" s="71">
        <v>304473.665</v>
      </c>
      <c r="D30" s="71">
        <v>304473.665</v>
      </c>
      <c r="E30" s="68">
        <v>0</v>
      </c>
      <c r="F30" s="68">
        <v>0</v>
      </c>
      <c r="G30" s="208">
        <f t="shared" si="1"/>
        <v>0</v>
      </c>
    </row>
    <row r="31" spans="1:7" ht="12.75">
      <c r="A31" s="546">
        <v>27906</v>
      </c>
      <c r="B31" s="547" t="s">
        <v>31</v>
      </c>
      <c r="C31" s="71">
        <v>17500</v>
      </c>
      <c r="D31" s="71">
        <v>17500</v>
      </c>
      <c r="E31" s="68">
        <v>2069.8</v>
      </c>
      <c r="F31" s="68">
        <v>1908.7</v>
      </c>
      <c r="G31" s="208">
        <f t="shared" si="1"/>
        <v>0.11827428571428572</v>
      </c>
    </row>
    <row r="32" spans="1:7" ht="12.75">
      <c r="A32" s="546">
        <v>27907</v>
      </c>
      <c r="B32" s="547" t="s">
        <v>32</v>
      </c>
      <c r="C32" s="71">
        <v>76021.107</v>
      </c>
      <c r="D32" s="71">
        <v>76021.107</v>
      </c>
      <c r="E32" s="68">
        <v>20000</v>
      </c>
      <c r="F32" s="68">
        <v>0</v>
      </c>
      <c r="G32" s="208">
        <f t="shared" si="1"/>
        <v>0.2630848298486366</v>
      </c>
    </row>
    <row r="33" spans="1:7" ht="12.75">
      <c r="A33" s="546">
        <v>27914</v>
      </c>
      <c r="B33" s="547" t="s">
        <v>489</v>
      </c>
      <c r="C33" s="71">
        <v>32034.242</v>
      </c>
      <c r="D33" s="71">
        <v>32034.242</v>
      </c>
      <c r="E33" s="68">
        <v>0</v>
      </c>
      <c r="F33" s="68">
        <v>0</v>
      </c>
      <c r="G33" s="208">
        <f t="shared" si="1"/>
        <v>0</v>
      </c>
    </row>
    <row r="34" spans="1:7" ht="12.75">
      <c r="A34" s="546">
        <v>29255</v>
      </c>
      <c r="B34" s="547" t="s">
        <v>33</v>
      </c>
      <c r="C34" s="410">
        <v>524734.901</v>
      </c>
      <c r="D34" s="410">
        <v>524734.901</v>
      </c>
      <c r="E34" s="68">
        <v>0</v>
      </c>
      <c r="F34" s="68">
        <v>0</v>
      </c>
      <c r="G34" s="208">
        <f t="shared" si="1"/>
        <v>0</v>
      </c>
    </row>
    <row r="35" spans="1:7" ht="12.75">
      <c r="A35" s="546">
        <v>29260</v>
      </c>
      <c r="B35" s="547" t="s">
        <v>293</v>
      </c>
      <c r="C35" s="71">
        <v>30285.596</v>
      </c>
      <c r="D35" s="71">
        <v>30285.596</v>
      </c>
      <c r="E35" s="68">
        <v>0</v>
      </c>
      <c r="F35" s="68">
        <v>0</v>
      </c>
      <c r="G35" s="208">
        <f t="shared" si="1"/>
        <v>0</v>
      </c>
    </row>
    <row r="36" spans="1:7" ht="12.75">
      <c r="A36" s="546">
        <v>29261</v>
      </c>
      <c r="B36" s="547" t="s">
        <v>61</v>
      </c>
      <c r="C36" s="71">
        <v>19518.933</v>
      </c>
      <c r="D36" s="71">
        <v>19518.933</v>
      </c>
      <c r="E36" s="68">
        <v>0</v>
      </c>
      <c r="F36" s="68">
        <v>0</v>
      </c>
      <c r="G36" s="208">
        <f t="shared" si="1"/>
        <v>0</v>
      </c>
    </row>
    <row r="37" spans="1:7" ht="12.75">
      <c r="A37" s="546">
        <v>29262</v>
      </c>
      <c r="B37" s="547" t="s">
        <v>34</v>
      </c>
      <c r="C37" s="71">
        <v>14434.754</v>
      </c>
      <c r="D37" s="71">
        <v>14434.754</v>
      </c>
      <c r="E37" s="68">
        <v>0</v>
      </c>
      <c r="F37" s="68">
        <v>0</v>
      </c>
      <c r="G37" s="208">
        <f t="shared" si="1"/>
        <v>0</v>
      </c>
    </row>
    <row r="38" spans="1:7" ht="12.75">
      <c r="A38" s="546">
        <v>29275</v>
      </c>
      <c r="B38" s="547" t="s">
        <v>35</v>
      </c>
      <c r="C38" s="71">
        <v>7191.186</v>
      </c>
      <c r="D38" s="71">
        <v>7191.186</v>
      </c>
      <c r="E38" s="68">
        <v>0</v>
      </c>
      <c r="F38" s="68">
        <v>0</v>
      </c>
      <c r="G38" s="208">
        <f t="shared" si="1"/>
        <v>0</v>
      </c>
    </row>
    <row r="39" spans="1:7" ht="12.75">
      <c r="A39" s="546">
        <v>29292</v>
      </c>
      <c r="B39" s="547" t="s">
        <v>36</v>
      </c>
      <c r="C39" s="71">
        <v>10000</v>
      </c>
      <c r="D39" s="71">
        <v>10000</v>
      </c>
      <c r="E39" s="68">
        <v>0</v>
      </c>
      <c r="F39" s="68">
        <v>0</v>
      </c>
      <c r="G39" s="208">
        <f t="shared" si="1"/>
        <v>0</v>
      </c>
    </row>
    <row r="40" spans="1:7" ht="12.75">
      <c r="A40" s="546">
        <v>29295</v>
      </c>
      <c r="B40" s="547" t="s">
        <v>37</v>
      </c>
      <c r="C40" s="410">
        <v>135009.017</v>
      </c>
      <c r="D40" s="410">
        <v>135009.017</v>
      </c>
      <c r="E40" s="68">
        <v>0</v>
      </c>
      <c r="F40" s="68">
        <v>0</v>
      </c>
      <c r="G40" s="208">
        <f t="shared" si="1"/>
        <v>0</v>
      </c>
    </row>
    <row r="41" spans="1:7" ht="12.75">
      <c r="A41" s="546">
        <v>29356</v>
      </c>
      <c r="B41" s="547" t="s">
        <v>474</v>
      </c>
      <c r="C41" s="410">
        <v>7028.996</v>
      </c>
      <c r="D41" s="410">
        <v>7028.996</v>
      </c>
      <c r="E41" s="68">
        <v>0</v>
      </c>
      <c r="F41" s="68">
        <v>0</v>
      </c>
      <c r="G41" s="208">
        <f t="shared" si="1"/>
        <v>0</v>
      </c>
    </row>
    <row r="42" spans="1:7" ht="12.75">
      <c r="A42" s="546">
        <v>29603</v>
      </c>
      <c r="B42" s="547" t="s">
        <v>38</v>
      </c>
      <c r="C42" s="71">
        <v>4682.434</v>
      </c>
      <c r="D42" s="71">
        <v>4682.434</v>
      </c>
      <c r="E42" s="68">
        <v>0</v>
      </c>
      <c r="F42" s="68">
        <v>0</v>
      </c>
      <c r="G42" s="208">
        <f t="shared" si="1"/>
        <v>0</v>
      </c>
    </row>
    <row r="43" spans="1:7" ht="12.75">
      <c r="A43" s="546">
        <v>29614</v>
      </c>
      <c r="B43" s="547" t="s">
        <v>39</v>
      </c>
      <c r="C43" s="71">
        <v>224946.63</v>
      </c>
      <c r="D43" s="71">
        <v>224946.63</v>
      </c>
      <c r="E43" s="68">
        <v>0</v>
      </c>
      <c r="F43" s="68">
        <v>0</v>
      </c>
      <c r="G43" s="208">
        <f t="shared" si="1"/>
        <v>0</v>
      </c>
    </row>
    <row r="44" spans="1:7" ht="12.75">
      <c r="A44" s="548">
        <v>29617</v>
      </c>
      <c r="B44" s="547" t="s">
        <v>294</v>
      </c>
      <c r="C44" s="71">
        <v>4300</v>
      </c>
      <c r="D44" s="71">
        <v>4300</v>
      </c>
      <c r="E44" s="68">
        <v>4300</v>
      </c>
      <c r="F44" s="68">
        <v>4300</v>
      </c>
      <c r="G44" s="208">
        <f t="shared" si="1"/>
        <v>1</v>
      </c>
    </row>
    <row r="45" spans="1:7" ht="12.75">
      <c r="A45" s="548" t="s">
        <v>40</v>
      </c>
      <c r="B45" s="547" t="s">
        <v>83</v>
      </c>
      <c r="C45" s="71">
        <v>15000</v>
      </c>
      <c r="D45" s="71">
        <v>15000</v>
      </c>
      <c r="E45" s="68">
        <v>0</v>
      </c>
      <c r="F45" s="68">
        <v>0</v>
      </c>
      <c r="G45" s="208">
        <f t="shared" si="1"/>
        <v>0</v>
      </c>
    </row>
    <row r="46" spans="1:7" ht="12.75">
      <c r="A46" s="548">
        <v>29624</v>
      </c>
      <c r="B46" s="547" t="s">
        <v>464</v>
      </c>
      <c r="C46" s="71">
        <v>50000</v>
      </c>
      <c r="D46" s="71">
        <v>50000</v>
      </c>
      <c r="E46" s="68">
        <v>0</v>
      </c>
      <c r="F46" s="68">
        <v>0</v>
      </c>
      <c r="G46" s="208">
        <f t="shared" si="1"/>
        <v>0</v>
      </c>
    </row>
    <row r="47" spans="1:7" ht="12.75">
      <c r="A47" s="548">
        <v>30400</v>
      </c>
      <c r="B47" s="547" t="s">
        <v>305</v>
      </c>
      <c r="C47" s="71">
        <v>334.801</v>
      </c>
      <c r="D47" s="71">
        <v>334.801</v>
      </c>
      <c r="E47" s="68">
        <v>0</v>
      </c>
      <c r="F47" s="68">
        <v>0</v>
      </c>
      <c r="G47" s="208">
        <f t="shared" si="1"/>
        <v>0</v>
      </c>
    </row>
    <row r="48" spans="1:7" ht="12.75">
      <c r="A48" s="128"/>
      <c r="B48" s="115"/>
      <c r="C48" s="66"/>
      <c r="D48" s="66"/>
      <c r="E48" s="68"/>
      <c r="F48" s="68"/>
      <c r="G48" s="233"/>
    </row>
    <row r="49" spans="1:7" ht="12.75">
      <c r="A49" s="561" t="s">
        <v>41</v>
      </c>
      <c r="B49" s="183"/>
      <c r="C49" s="109">
        <f>SUM(C29:C47)</f>
        <v>1485108.722</v>
      </c>
      <c r="D49" s="109">
        <f>SUM(D29:D47)</f>
        <v>1485108.722</v>
      </c>
      <c r="E49" s="109">
        <f>SUM(E29:E47)</f>
        <v>26369.8</v>
      </c>
      <c r="F49" s="109">
        <f>SUM(F29:F47)</f>
        <v>6208.7</v>
      </c>
      <c r="G49" s="233">
        <f>+E49/D49</f>
        <v>0.01775614108877343</v>
      </c>
    </row>
    <row r="50" spans="1:7" ht="12.75">
      <c r="A50" s="561" t="s">
        <v>42</v>
      </c>
      <c r="B50" s="184"/>
      <c r="C50" s="109">
        <f>C27+C49</f>
        <v>9724279.445</v>
      </c>
      <c r="D50" s="109">
        <f>D27+D49</f>
        <v>9724279.445</v>
      </c>
      <c r="E50" s="109">
        <f>E27+E49</f>
        <v>874024.0000000001</v>
      </c>
      <c r="F50" s="109">
        <f>F27+F49</f>
        <v>6208.7</v>
      </c>
      <c r="G50" s="211">
        <f>+E50/D50</f>
        <v>0.0898805926900222</v>
      </c>
    </row>
    <row r="51" spans="1:7" ht="12.75">
      <c r="A51" s="47"/>
      <c r="B51" s="47"/>
      <c r="C51" s="48" t="s">
        <v>1</v>
      </c>
      <c r="D51" s="48" t="s">
        <v>1</v>
      </c>
      <c r="E51" s="68"/>
      <c r="F51" s="68"/>
      <c r="G51" s="20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5" r:id="rId1"/>
  <headerFooter alignWithMargins="0">
    <oddFooter>&amp;C- &amp;12 7&amp;10 -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0.7109375" style="0" customWidth="1"/>
    <col min="2" max="2" width="41.7109375" style="0" customWidth="1"/>
    <col min="3" max="4" width="11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tr">
        <f>+'Claims_1 of 2'!A3:G3</f>
        <v>as of 9/24/2015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41"/>
      <c r="B8" s="41"/>
      <c r="C8" s="41" t="str">
        <f>+'Claims_1 of 2'!C8</f>
        <v>FY 2016</v>
      </c>
      <c r="D8" s="41" t="s">
        <v>454</v>
      </c>
      <c r="E8" s="41" t="s">
        <v>280</v>
      </c>
      <c r="F8" s="41" t="s">
        <v>281</v>
      </c>
      <c r="G8" s="41" t="s">
        <v>282</v>
      </c>
    </row>
    <row r="9" spans="1:7" ht="12.75">
      <c r="A9" s="41" t="s">
        <v>15</v>
      </c>
      <c r="B9" s="41"/>
      <c r="C9" s="41" t="s">
        <v>2</v>
      </c>
      <c r="D9" s="41" t="s">
        <v>298</v>
      </c>
      <c r="E9" s="41" t="s">
        <v>283</v>
      </c>
      <c r="F9" s="41" t="s">
        <v>284</v>
      </c>
      <c r="G9" s="41" t="s">
        <v>285</v>
      </c>
    </row>
    <row r="10" spans="1:7" ht="12.75">
      <c r="A10" s="41" t="s">
        <v>16</v>
      </c>
      <c r="B10" s="577" t="s">
        <v>17</v>
      </c>
      <c r="C10" s="41" t="s">
        <v>5</v>
      </c>
      <c r="D10" s="41" t="s">
        <v>299</v>
      </c>
      <c r="E10" s="41" t="str">
        <f>+'Claims_1 of 2'!E10</f>
        <v>YTD - 9/24/15</v>
      </c>
      <c r="F10" s="41" t="str">
        <f>+E10</f>
        <v>YTD - 9/24/15</v>
      </c>
      <c r="G10" s="41" t="str">
        <f>+E10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>
      <c r="A12" s="47"/>
      <c r="B12" s="47"/>
      <c r="C12" s="48" t="s">
        <v>1</v>
      </c>
      <c r="D12" s="48" t="s">
        <v>1</v>
      </c>
      <c r="E12" s="68"/>
      <c r="F12" s="68"/>
      <c r="G12" s="208"/>
    </row>
    <row r="13" spans="1:7" ht="12.75">
      <c r="A13" s="556" t="s">
        <v>43</v>
      </c>
      <c r="B13" s="117"/>
      <c r="C13" s="50"/>
      <c r="D13" s="50"/>
      <c r="E13" s="68"/>
      <c r="F13" s="68"/>
      <c r="G13" s="208"/>
    </row>
    <row r="14" spans="1:7" ht="12.75">
      <c r="A14" s="548" t="s">
        <v>452</v>
      </c>
      <c r="B14" s="547" t="s">
        <v>453</v>
      </c>
      <c r="C14" s="520">
        <v>97000</v>
      </c>
      <c r="D14" s="520">
        <v>97000</v>
      </c>
      <c r="E14" s="524">
        <v>0</v>
      </c>
      <c r="F14" s="524">
        <v>0</v>
      </c>
      <c r="G14" s="208">
        <f aca="true" t="shared" si="0" ref="G14:G32">+E14/D14</f>
        <v>0</v>
      </c>
    </row>
    <row r="15" spans="1:7" ht="12.75">
      <c r="A15" s="548">
        <v>13022</v>
      </c>
      <c r="B15" s="547" t="s">
        <v>254</v>
      </c>
      <c r="C15" s="66">
        <v>18691.458</v>
      </c>
      <c r="D15" s="66">
        <v>18691.458</v>
      </c>
      <c r="E15" s="68">
        <v>0</v>
      </c>
      <c r="F15" s="68">
        <v>0</v>
      </c>
      <c r="G15" s="208">
        <f t="shared" si="0"/>
        <v>0</v>
      </c>
    </row>
    <row r="16" spans="1:7" ht="12.75">
      <c r="A16" s="548" t="s">
        <v>44</v>
      </c>
      <c r="B16" s="547" t="s">
        <v>297</v>
      </c>
      <c r="C16" s="66">
        <v>21038.101</v>
      </c>
      <c r="D16" s="66">
        <v>21038.101</v>
      </c>
      <c r="E16" s="68">
        <v>5.4</v>
      </c>
      <c r="F16" s="68">
        <v>5.4</v>
      </c>
      <c r="G16" s="208">
        <f t="shared" si="0"/>
        <v>0.0002566771592169845</v>
      </c>
    </row>
    <row r="17" spans="1:7" ht="12.75">
      <c r="A17" s="548" t="s">
        <v>45</v>
      </c>
      <c r="B17" s="547" t="s">
        <v>62</v>
      </c>
      <c r="C17" s="66">
        <v>300476.353</v>
      </c>
      <c r="D17" s="66">
        <v>300476.353</v>
      </c>
      <c r="E17" s="68">
        <v>2.5</v>
      </c>
      <c r="F17" s="68">
        <v>2.5</v>
      </c>
      <c r="G17" s="208">
        <f t="shared" si="0"/>
        <v>8.320122282634334E-06</v>
      </c>
    </row>
    <row r="18" spans="1:7" ht="12.75">
      <c r="A18" s="548" t="s">
        <v>46</v>
      </c>
      <c r="B18" s="547" t="s">
        <v>47</v>
      </c>
      <c r="C18" s="66">
        <v>14294.282</v>
      </c>
      <c r="D18" s="66">
        <v>14294.282</v>
      </c>
      <c r="E18" s="68">
        <v>0</v>
      </c>
      <c r="F18" s="68">
        <v>0</v>
      </c>
      <c r="G18" s="208">
        <f t="shared" si="0"/>
        <v>0</v>
      </c>
    </row>
    <row r="19" spans="1:7" ht="12.75">
      <c r="A19" s="548" t="s">
        <v>48</v>
      </c>
      <c r="B19" s="547" t="s">
        <v>49</v>
      </c>
      <c r="C19" s="66">
        <v>78242.518</v>
      </c>
      <c r="D19" s="66">
        <v>78242.518</v>
      </c>
      <c r="E19" s="68">
        <v>0.2</v>
      </c>
      <c r="F19" s="68">
        <v>0.2</v>
      </c>
      <c r="G19" s="208">
        <f t="shared" si="0"/>
        <v>2.556154954011066E-06</v>
      </c>
    </row>
    <row r="20" spans="1:7" ht="12.75">
      <c r="A20" s="549" t="s">
        <v>63</v>
      </c>
      <c r="B20" s="547" t="s">
        <v>50</v>
      </c>
      <c r="C20" s="67">
        <v>679101.123</v>
      </c>
      <c r="D20" s="67">
        <v>679101.123</v>
      </c>
      <c r="E20" s="68">
        <v>0</v>
      </c>
      <c r="F20" s="68">
        <v>0</v>
      </c>
      <c r="G20" s="208">
        <f t="shared" si="0"/>
        <v>0</v>
      </c>
    </row>
    <row r="21" spans="1:7" ht="12.75">
      <c r="A21" s="548" t="s">
        <v>64</v>
      </c>
      <c r="B21" s="547" t="s">
        <v>51</v>
      </c>
      <c r="C21" s="520">
        <v>15000</v>
      </c>
      <c r="D21" s="520">
        <v>15000</v>
      </c>
      <c r="E21" s="68">
        <v>310.7</v>
      </c>
      <c r="F21" s="68">
        <v>310.7</v>
      </c>
      <c r="G21" s="208">
        <f t="shared" si="0"/>
        <v>0.020713333333333334</v>
      </c>
    </row>
    <row r="22" spans="1:7" ht="12.75">
      <c r="A22" s="548" t="s">
        <v>52</v>
      </c>
      <c r="B22" s="547" t="s">
        <v>53</v>
      </c>
      <c r="C22" s="66">
        <v>269781.558</v>
      </c>
      <c r="D22" s="66">
        <v>269781.558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8" t="s">
        <v>54</v>
      </c>
      <c r="B23" s="547" t="s">
        <v>295</v>
      </c>
      <c r="C23" s="66">
        <v>5250</v>
      </c>
      <c r="D23" s="66">
        <v>5250</v>
      </c>
      <c r="E23" s="68">
        <v>1487.4</v>
      </c>
      <c r="F23" s="68">
        <v>1487.4</v>
      </c>
      <c r="G23" s="208">
        <f t="shared" si="0"/>
        <v>0.28331428571428574</v>
      </c>
    </row>
    <row r="24" spans="1:7" ht="12.75">
      <c r="A24" s="549" t="s">
        <v>65</v>
      </c>
      <c r="B24" s="547" t="s">
        <v>55</v>
      </c>
      <c r="C24" s="66">
        <v>18108.427</v>
      </c>
      <c r="D24" s="66">
        <v>18108.427</v>
      </c>
      <c r="E24" s="68">
        <v>274.1</v>
      </c>
      <c r="F24" s="68">
        <v>274.1</v>
      </c>
      <c r="G24" s="208">
        <f t="shared" si="0"/>
        <v>0.015136599109353895</v>
      </c>
    </row>
    <row r="25" spans="1:7" ht="12.75">
      <c r="A25" s="548" t="s">
        <v>56</v>
      </c>
      <c r="B25" s="547" t="s">
        <v>245</v>
      </c>
      <c r="C25" s="71">
        <v>108000</v>
      </c>
      <c r="D25" s="71">
        <v>108000</v>
      </c>
      <c r="E25" s="68">
        <v>0</v>
      </c>
      <c r="F25" s="68">
        <v>0</v>
      </c>
      <c r="G25" s="208">
        <f t="shared" si="0"/>
        <v>0</v>
      </c>
    </row>
    <row r="26" spans="1:7" ht="12.75">
      <c r="A26" s="548" t="s">
        <v>57</v>
      </c>
      <c r="B26" s="547" t="s">
        <v>58</v>
      </c>
      <c r="C26" s="66">
        <v>10200</v>
      </c>
      <c r="D26" s="66">
        <v>10200</v>
      </c>
      <c r="E26" s="68">
        <v>667.8</v>
      </c>
      <c r="F26" s="68">
        <v>340.1</v>
      </c>
      <c r="G26" s="208">
        <f t="shared" si="0"/>
        <v>0.06547058823529411</v>
      </c>
    </row>
    <row r="27" spans="1:7" ht="12.75">
      <c r="A27" s="548">
        <v>13936</v>
      </c>
      <c r="B27" s="547" t="s">
        <v>296</v>
      </c>
      <c r="C27" s="66">
        <v>1550</v>
      </c>
      <c r="D27" s="66">
        <v>1550</v>
      </c>
      <c r="E27" s="68">
        <v>0</v>
      </c>
      <c r="F27" s="68">
        <v>0</v>
      </c>
      <c r="G27" s="208">
        <f t="shared" si="0"/>
        <v>0</v>
      </c>
    </row>
    <row r="28" spans="1:7" ht="12.75">
      <c r="A28" s="548">
        <v>13939</v>
      </c>
      <c r="B28" s="547" t="s">
        <v>240</v>
      </c>
      <c r="C28" s="66">
        <v>21011.386</v>
      </c>
      <c r="D28" s="66">
        <v>21011.386</v>
      </c>
      <c r="E28" s="68">
        <v>0</v>
      </c>
      <c r="F28" s="68">
        <v>0</v>
      </c>
      <c r="G28" s="208">
        <f t="shared" si="0"/>
        <v>0</v>
      </c>
    </row>
    <row r="29" spans="1:7" ht="12.75">
      <c r="A29" s="548" t="s">
        <v>241</v>
      </c>
      <c r="B29" s="547" t="s">
        <v>253</v>
      </c>
      <c r="C29" s="66">
        <v>34006.181</v>
      </c>
      <c r="D29" s="66">
        <v>34006.181</v>
      </c>
      <c r="E29" s="68">
        <v>0</v>
      </c>
      <c r="F29" s="68">
        <v>0</v>
      </c>
      <c r="G29" s="208">
        <f t="shared" si="0"/>
        <v>0</v>
      </c>
    </row>
    <row r="30" spans="1:7" ht="12.75">
      <c r="A30" s="548">
        <v>13945</v>
      </c>
      <c r="B30" s="547" t="s">
        <v>330</v>
      </c>
      <c r="C30" s="51">
        <v>30000</v>
      </c>
      <c r="D30" s="51">
        <v>30000</v>
      </c>
      <c r="E30" s="68">
        <v>6370</v>
      </c>
      <c r="F30" s="68">
        <v>6370</v>
      </c>
      <c r="G30" s="208">
        <f t="shared" si="0"/>
        <v>0.21233333333333335</v>
      </c>
    </row>
    <row r="31" spans="1:7" ht="12.75">
      <c r="A31" s="550">
        <v>14711</v>
      </c>
      <c r="B31" s="563" t="s">
        <v>487</v>
      </c>
      <c r="C31" s="51">
        <v>178.616</v>
      </c>
      <c r="D31" s="51">
        <v>178.616</v>
      </c>
      <c r="E31" s="68">
        <v>0</v>
      </c>
      <c r="F31" s="68">
        <v>0</v>
      </c>
      <c r="G31" s="208">
        <f t="shared" si="0"/>
        <v>0</v>
      </c>
    </row>
    <row r="32" spans="1:7" ht="12.75">
      <c r="A32" s="551">
        <v>14717</v>
      </c>
      <c r="B32" s="204" t="s">
        <v>620</v>
      </c>
      <c r="C32" s="37">
        <v>7700</v>
      </c>
      <c r="D32" s="51">
        <v>7700</v>
      </c>
      <c r="E32" s="68">
        <v>0</v>
      </c>
      <c r="F32" s="68">
        <v>0</v>
      </c>
      <c r="G32" s="208">
        <f t="shared" si="0"/>
        <v>0</v>
      </c>
    </row>
    <row r="33" spans="1:7" ht="12.75">
      <c r="A33" s="353"/>
      <c r="B33" s="118"/>
      <c r="C33" s="37"/>
      <c r="D33" s="37"/>
      <c r="E33" s="207"/>
      <c r="F33" s="207"/>
      <c r="G33" s="208"/>
    </row>
    <row r="34" spans="1:7" ht="12.75">
      <c r="A34" s="562" t="s">
        <v>247</v>
      </c>
      <c r="B34" s="46"/>
      <c r="C34" s="114">
        <f>SUM(C14:C33)</f>
        <v>1729630.0029999998</v>
      </c>
      <c r="D34" s="114">
        <f>SUM(D14:D33)</f>
        <v>1729630.0029999998</v>
      </c>
      <c r="E34" s="114">
        <f>SUM(E14:E33)</f>
        <v>9118.1</v>
      </c>
      <c r="F34" s="114">
        <f>SUM(F14:F33)</f>
        <v>8790.4</v>
      </c>
      <c r="G34" s="211">
        <f>+E34/D34</f>
        <v>0.005271705500127129</v>
      </c>
    </row>
    <row r="35" spans="1:7" ht="12.75">
      <c r="A35" s="47"/>
      <c r="B35" s="47"/>
      <c r="C35" s="302"/>
      <c r="D35" s="302"/>
      <c r="E35" s="302"/>
      <c r="F35" s="302"/>
      <c r="G35" s="303"/>
    </row>
    <row r="36" spans="1:7" ht="12.75">
      <c r="A36" s="212" t="s">
        <v>77</v>
      </c>
      <c r="B36" s="213"/>
      <c r="C36" s="54"/>
      <c r="D36" s="54"/>
      <c r="E36" s="51"/>
      <c r="F36" s="51"/>
      <c r="G36" s="209"/>
    </row>
    <row r="37" spans="1:7" ht="12.75">
      <c r="A37" s="554">
        <v>31938</v>
      </c>
      <c r="B37" s="565" t="s">
        <v>277</v>
      </c>
      <c r="C37" s="525">
        <v>22264.75</v>
      </c>
      <c r="D37" s="525">
        <v>22264.75</v>
      </c>
      <c r="E37" s="524">
        <v>5566.2</v>
      </c>
      <c r="F37" s="520">
        <v>5566.2</v>
      </c>
      <c r="G37" s="208">
        <f>+E37/D37</f>
        <v>0.2500005614255718</v>
      </c>
    </row>
    <row r="38" spans="1:7" ht="12.75">
      <c r="A38" s="554" t="s">
        <v>78</v>
      </c>
      <c r="B38" s="565" t="s">
        <v>255</v>
      </c>
      <c r="C38" s="226">
        <v>50000</v>
      </c>
      <c r="D38" s="226">
        <v>50000</v>
      </c>
      <c r="E38" s="68">
        <v>15688.9</v>
      </c>
      <c r="F38" s="66">
        <v>12936.1</v>
      </c>
      <c r="G38" s="208">
        <f>+E38/D38</f>
        <v>0.313778</v>
      </c>
    </row>
    <row r="39" spans="1:7" ht="12.75">
      <c r="A39" s="555">
        <v>41905</v>
      </c>
      <c r="B39" s="565" t="s">
        <v>242</v>
      </c>
      <c r="C39" s="66">
        <v>67125.516</v>
      </c>
      <c r="D39" s="66">
        <v>67125.516</v>
      </c>
      <c r="E39" s="68">
        <v>0</v>
      </c>
      <c r="F39" s="66">
        <v>0</v>
      </c>
      <c r="G39" s="208">
        <f>+E39/D39</f>
        <v>0</v>
      </c>
    </row>
    <row r="40" spans="1:7" ht="12.75">
      <c r="A40" s="555">
        <v>41911</v>
      </c>
      <c r="B40" s="565" t="s">
        <v>59</v>
      </c>
      <c r="C40" s="66">
        <v>1000</v>
      </c>
      <c r="D40" s="66">
        <v>1000</v>
      </c>
      <c r="E40" s="68">
        <v>12.7</v>
      </c>
      <c r="F40" s="66">
        <v>12.7</v>
      </c>
      <c r="G40" s="208">
        <f>+E40/D40</f>
        <v>0.0127</v>
      </c>
    </row>
    <row r="41" spans="1:7" ht="12.75">
      <c r="A41" s="555">
        <v>41917</v>
      </c>
      <c r="B41" s="565" t="s">
        <v>287</v>
      </c>
      <c r="C41" s="55">
        <v>5326.77</v>
      </c>
      <c r="D41" s="55">
        <v>5326.77</v>
      </c>
      <c r="E41" s="68">
        <v>0</v>
      </c>
      <c r="F41" s="66">
        <v>0</v>
      </c>
      <c r="G41" s="208">
        <f>+E41/D41</f>
        <v>0</v>
      </c>
    </row>
    <row r="42" spans="1:7" ht="12.75">
      <c r="A42" s="214"/>
      <c r="B42" s="215"/>
      <c r="C42" s="66"/>
      <c r="D42" s="66"/>
      <c r="E42" s="66"/>
      <c r="F42" s="66"/>
      <c r="G42" s="210"/>
    </row>
    <row r="43" spans="1:7" ht="12.75">
      <c r="A43" s="559" t="s">
        <v>248</v>
      </c>
      <c r="B43" s="216"/>
      <c r="C43" s="109">
        <f>SUM(C37:C42)</f>
        <v>145717.036</v>
      </c>
      <c r="D43" s="109">
        <f>SUM(D37:D42)</f>
        <v>145717.036</v>
      </c>
      <c r="E43" s="109">
        <f>SUM(E37:E42)</f>
        <v>21267.8</v>
      </c>
      <c r="F43" s="109">
        <f>SUM(F37:F42)</f>
        <v>18515</v>
      </c>
      <c r="G43" s="217">
        <f>+E43/D43</f>
        <v>0.14595273540974305</v>
      </c>
    </row>
    <row r="44" spans="1:7" ht="12.75">
      <c r="A44" s="57"/>
      <c r="B44" s="218"/>
      <c r="C44" s="219"/>
      <c r="D44" s="219"/>
      <c r="E44" s="220"/>
      <c r="F44" s="220"/>
      <c r="G44" s="209"/>
    </row>
    <row r="45" spans="1:7" ht="12.75">
      <c r="A45" s="221"/>
      <c r="B45" s="222"/>
      <c r="C45" s="223"/>
      <c r="D45" s="223"/>
      <c r="E45" s="223"/>
      <c r="F45" s="223"/>
      <c r="G45" s="210"/>
    </row>
    <row r="46" spans="1:7" ht="12.75">
      <c r="A46" s="557" t="s">
        <v>79</v>
      </c>
      <c r="B46" s="224"/>
      <c r="C46" s="225">
        <f>+C43+C34+'Claims_1 of 2'!C50</f>
        <v>11599626.484000001</v>
      </c>
      <c r="D46" s="225">
        <f>+D43+D34+'Claims_1 of 2'!D50</f>
        <v>11599626.484000001</v>
      </c>
      <c r="E46" s="225">
        <f>+E43+E34+'Claims_1 of 2'!E50</f>
        <v>904409.9000000001</v>
      </c>
      <c r="F46" s="225">
        <f>+F43+F34+'Claims_1 of 2'!F50</f>
        <v>33514.1</v>
      </c>
      <c r="G46" s="217">
        <f>+E46/D46</f>
        <v>0.07796888126074596</v>
      </c>
    </row>
    <row r="47" spans="1:7" ht="12.75">
      <c r="A47" s="304"/>
      <c r="B47" s="304"/>
      <c r="C47" s="305"/>
      <c r="D47" s="305"/>
      <c r="E47" s="306"/>
      <c r="F47" s="307"/>
      <c r="G47" s="308"/>
    </row>
    <row r="48" ht="12.75">
      <c r="E48" s="579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7" r:id="rId1"/>
  <headerFooter alignWithMargins="0">
    <oddFooter>&amp;C&amp;12- 8 -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2015-10-02T21:53:46Z</cp:lastPrinted>
  <dcterms:created xsi:type="dcterms:W3CDTF">1999-10-13T15:58:04Z</dcterms:created>
  <dcterms:modified xsi:type="dcterms:W3CDTF">2015-12-08T17:35:36Z</dcterms:modified>
  <cp:category/>
  <cp:version/>
  <cp:contentType/>
  <cp:contentStatus/>
</cp:coreProperties>
</file>